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LINTON 2025\BACKED DATA\CPA ITEMS\BDA\MAY AUGUST 2025\"/>
    </mc:Choice>
  </mc:AlternateContent>
  <xr:revisionPtr revIDLastSave="0" documentId="13_ncr:1_{57943101-34A4-4BAC-9DB0-AE1C4C9F0263}" xr6:coauthVersionLast="47" xr6:coauthVersionMax="47" xr10:uidLastSave="{00000000-0000-0000-0000-000000000000}"/>
  <bookViews>
    <workbookView xWindow="-120" yWindow="-120" windowWidth="19440" windowHeight="10320" firstSheet="7" activeTab="9" xr2:uid="{D7879FA6-FAB6-4725-A3A1-34374763BEA6}"/>
  </bookViews>
  <sheets>
    <sheet name="RHINO LIMITED" sheetId="15" r:id="rId1"/>
    <sheet name="BELLA OMARI" sheetId="12" r:id="rId2"/>
    <sheet name="INCOMPLETE RECORDS-ANGELA" sheetId="3" r:id="rId3"/>
    <sheet name="PUBLISHED ACCOUNTS FARMLAND LTD" sheetId="13" r:id="rId4"/>
    <sheet name="PUBLISHED ACCOUNTS-LAKERS LTD" sheetId="1" r:id="rId5"/>
    <sheet name="INCOME STATEMENTS-HIBISCUS LTD" sheetId="2" r:id="rId6"/>
    <sheet name="PUBLISHED FS-SALAMA LTD" sheetId="8" r:id="rId7"/>
    <sheet name="GALA LIMITED-FS" sheetId="5" r:id="rId8"/>
    <sheet name="BDA DECEMBER 2023 Q21 " sheetId="4" r:id="rId9"/>
    <sheet name="BDA APRIL 2024 Q24-INCOMPLETE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4" l="1"/>
  <c r="O84" i="4"/>
  <c r="O82" i="4"/>
  <c r="O81" i="4"/>
  <c r="O79" i="4"/>
  <c r="O78" i="4"/>
  <c r="O77" i="4"/>
  <c r="O74" i="4"/>
  <c r="O71" i="4"/>
  <c r="O70" i="4"/>
  <c r="O69" i="4"/>
  <c r="O68" i="4"/>
  <c r="O67" i="4"/>
  <c r="O65" i="4"/>
  <c r="O61" i="4"/>
  <c r="O58" i="4"/>
  <c r="O57" i="4"/>
  <c r="O56" i="4"/>
  <c r="O52" i="4"/>
  <c r="O51" i="4"/>
  <c r="L64" i="4" l="1"/>
  <c r="L63" i="4"/>
  <c r="Q25" i="4"/>
  <c r="Q20" i="4"/>
  <c r="L25" i="4"/>
  <c r="M25" i="4"/>
  <c r="N25" i="4"/>
  <c r="O25" i="4"/>
  <c r="P25" i="4"/>
  <c r="Q21" i="4"/>
  <c r="Q22" i="4"/>
  <c r="Q23" i="4"/>
  <c r="Q24" i="4"/>
  <c r="P23" i="4"/>
  <c r="O22" i="4"/>
  <c r="O20" i="4"/>
  <c r="N20" i="4"/>
  <c r="M20" i="4"/>
  <c r="L20" i="4"/>
  <c r="L62" i="4"/>
  <c r="L61" i="4"/>
  <c r="L60" i="4"/>
  <c r="L59" i="4"/>
  <c r="L58" i="4"/>
  <c r="L57" i="4"/>
  <c r="L55" i="4"/>
  <c r="L54" i="4"/>
  <c r="L53" i="4"/>
  <c r="L52" i="4"/>
  <c r="L51" i="4"/>
  <c r="K59" i="4"/>
  <c r="K58" i="4"/>
  <c r="K57" i="4"/>
  <c r="L16" i="4"/>
  <c r="M16" i="4"/>
  <c r="N16" i="4"/>
  <c r="O16" i="4"/>
  <c r="P16" i="4"/>
  <c r="Q16" i="4"/>
  <c r="L14" i="4"/>
  <c r="Q13" i="4"/>
  <c r="P12" i="4"/>
  <c r="O11" i="4"/>
  <c r="M10" i="4"/>
  <c r="N9" i="4"/>
  <c r="L8" i="4"/>
  <c r="L7" i="4"/>
  <c r="K8" i="4"/>
  <c r="K9" i="4"/>
  <c r="K10" i="4"/>
  <c r="K12" i="4"/>
  <c r="K7" i="4"/>
  <c r="K5" i="4" l="1"/>
  <c r="M4" i="4"/>
  <c r="L3" i="4"/>
  <c r="L2" i="4"/>
  <c r="K2" i="4"/>
  <c r="F29" i="4"/>
  <c r="G73" i="4"/>
  <c r="G74" i="4"/>
  <c r="I74" i="4"/>
  <c r="I66" i="4"/>
  <c r="I64" i="4"/>
  <c r="G66" i="4"/>
  <c r="F25" i="4"/>
  <c r="F21" i="4"/>
  <c r="F20" i="4"/>
  <c r="F19" i="4"/>
  <c r="G12" i="4"/>
  <c r="F12" i="4"/>
  <c r="H11" i="4"/>
  <c r="H10" i="4"/>
  <c r="G10" i="4"/>
  <c r="F10" i="4"/>
  <c r="H9" i="4"/>
  <c r="G8" i="4"/>
  <c r="F6" i="4"/>
  <c r="G6" i="4"/>
  <c r="G9" i="4"/>
  <c r="F9" i="4"/>
  <c r="F8" i="4"/>
  <c r="H8" i="4"/>
  <c r="L38" i="4"/>
  <c r="I35" i="4"/>
  <c r="G35" i="4"/>
  <c r="L36" i="4"/>
  <c r="L35" i="4"/>
  <c r="L42" i="4"/>
  <c r="L40" i="4"/>
  <c r="L37" i="4"/>
  <c r="L34" i="4"/>
  <c r="I44" i="4"/>
  <c r="G44" i="4"/>
  <c r="I42" i="4"/>
  <c r="I59" i="4"/>
  <c r="G59" i="4"/>
  <c r="I52" i="4"/>
  <c r="G52" i="4"/>
  <c r="G32" i="4"/>
  <c r="C36" i="4"/>
  <c r="B36" i="4"/>
  <c r="AC9" i="15"/>
  <c r="AD9" i="15"/>
  <c r="AE6" i="15"/>
  <c r="AE7" i="15"/>
  <c r="AE8" i="15"/>
  <c r="AE9" i="15"/>
  <c r="AD8" i="15"/>
  <c r="AD7" i="15"/>
  <c r="AD6" i="15"/>
  <c r="W15" i="15"/>
  <c r="W14" i="15"/>
  <c r="W13" i="15"/>
  <c r="W12" i="15"/>
  <c r="W11" i="15"/>
  <c r="W10" i="15"/>
  <c r="W8" i="15"/>
  <c r="W7" i="15"/>
  <c r="W6" i="15"/>
  <c r="W5" i="15"/>
  <c r="W4" i="15"/>
  <c r="M17" i="15"/>
  <c r="N17" i="15"/>
  <c r="O17" i="15"/>
  <c r="P17" i="15"/>
  <c r="Q17" i="15"/>
  <c r="O16" i="15"/>
  <c r="N15" i="15"/>
  <c r="P14" i="15"/>
  <c r="M13" i="15"/>
  <c r="M12" i="15"/>
  <c r="M11" i="15"/>
  <c r="M10" i="15"/>
  <c r="Q9" i="15"/>
  <c r="M8" i="15"/>
  <c r="M7" i="15"/>
  <c r="M6" i="15"/>
  <c r="M5" i="15"/>
  <c r="N55" i="15"/>
  <c r="R56" i="15"/>
  <c r="R53" i="15"/>
  <c r="R52" i="15"/>
  <c r="R49" i="15"/>
  <c r="R42" i="15"/>
  <c r="R34" i="15"/>
  <c r="R28" i="15"/>
  <c r="N51" i="15"/>
  <c r="M49" i="15"/>
  <c r="M33" i="15"/>
  <c r="M32" i="15"/>
  <c r="N30" i="15"/>
  <c r="G23" i="15"/>
  <c r="M38" i="15" s="1"/>
  <c r="M47" i="15"/>
  <c r="G32" i="15"/>
  <c r="G31" i="15"/>
  <c r="G46" i="15"/>
  <c r="M48" i="15" s="1"/>
  <c r="G47" i="15"/>
  <c r="R32" i="15" s="1"/>
  <c r="G48" i="15"/>
  <c r="F59" i="15"/>
  <c r="G60" i="15"/>
  <c r="G52" i="15"/>
  <c r="G53" i="15" s="1"/>
  <c r="H41" i="15"/>
  <c r="H43" i="15" s="1"/>
  <c r="G41" i="15"/>
  <c r="G90" i="15"/>
  <c r="G87" i="15"/>
  <c r="M37" i="15" s="1"/>
  <c r="G85" i="15"/>
  <c r="M131" i="15"/>
  <c r="G76" i="15"/>
  <c r="G68" i="15"/>
  <c r="G67" i="15"/>
  <c r="O101" i="15"/>
  <c r="O105" i="15" s="1"/>
  <c r="O92" i="15"/>
  <c r="O93" i="15" s="1"/>
  <c r="F111" i="15"/>
  <c r="F115" i="15" s="1"/>
  <c r="H112" i="15"/>
  <c r="H115" i="15" s="1"/>
  <c r="O125" i="15"/>
  <c r="M122" i="15"/>
  <c r="M125" i="15" s="1"/>
  <c r="M96" i="15"/>
  <c r="G131" i="15"/>
  <c r="M100" i="15"/>
  <c r="M105" i="15" s="1"/>
  <c r="H128" i="15"/>
  <c r="F128" i="15"/>
  <c r="C111" i="15"/>
  <c r="B111" i="15"/>
  <c r="H106" i="15"/>
  <c r="F106" i="15"/>
  <c r="I38" i="5"/>
  <c r="I36" i="5"/>
  <c r="Q38" i="8"/>
  <c r="Q36" i="8"/>
  <c r="C89" i="15"/>
  <c r="C90" i="15" s="1"/>
  <c r="C91" i="15" s="1"/>
  <c r="C93" i="15" s="1"/>
  <c r="R31" i="15" s="1"/>
  <c r="C85" i="15"/>
  <c r="B55" i="15"/>
  <c r="C55" i="15"/>
  <c r="G33" i="15" l="1"/>
  <c r="R54" i="15" s="1"/>
  <c r="R57" i="15" s="1"/>
  <c r="G69" i="15"/>
  <c r="G71" i="15" s="1"/>
  <c r="M34" i="15"/>
  <c r="N34" i="15" s="1"/>
  <c r="N35" i="15" s="1"/>
  <c r="N38" i="15"/>
  <c r="G91" i="15"/>
  <c r="M45" i="15" s="1"/>
  <c r="G77" i="15"/>
  <c r="G78" i="15" s="1"/>
  <c r="G54" i="15"/>
  <c r="G86" i="15"/>
  <c r="M43" i="15" s="1"/>
  <c r="B113" i="15"/>
  <c r="N40" i="15" l="1"/>
  <c r="G82" i="15"/>
  <c r="M44" i="15" s="1"/>
  <c r="G92" i="15"/>
  <c r="G72" i="15"/>
  <c r="G81" i="15" s="1"/>
  <c r="G59" i="15"/>
  <c r="G62" i="15"/>
  <c r="M46" i="15" s="1"/>
  <c r="G56" i="15"/>
  <c r="R33" i="15" s="1"/>
  <c r="C23" i="2"/>
  <c r="C17" i="2"/>
  <c r="C16" i="2"/>
  <c r="B22" i="2"/>
  <c r="B24" i="2"/>
  <c r="B29" i="1"/>
  <c r="B31" i="1"/>
  <c r="C26" i="1"/>
  <c r="B38" i="1"/>
  <c r="C25" i="1"/>
  <c r="B37" i="1"/>
  <c r="B36" i="1"/>
  <c r="C24" i="1"/>
  <c r="C23" i="1"/>
  <c r="B18" i="1"/>
  <c r="R27" i="15" l="1"/>
  <c r="R37" i="15" s="1"/>
  <c r="N49" i="15"/>
  <c r="N50" i="15" s="1"/>
  <c r="N52" i="15" s="1"/>
  <c r="N54" i="15" s="1"/>
  <c r="N56" i="15" s="1"/>
  <c r="R44" i="15" s="1"/>
  <c r="R46" i="15" s="1"/>
  <c r="R58" i="15" s="1"/>
  <c r="B29" i="2"/>
  <c r="C46" i="1"/>
  <c r="C29" i="2"/>
  <c r="R60" i="15" l="1"/>
  <c r="B30" i="2"/>
  <c r="C31" i="5"/>
  <c r="B31" i="5"/>
  <c r="B46" i="1"/>
  <c r="B47" i="1" s="1"/>
</calcChain>
</file>

<file path=xl/sharedStrings.xml><?xml version="1.0" encoding="utf-8"?>
<sst xmlns="http://schemas.openxmlformats.org/spreadsheetml/2006/main" count="723" uniqueCount="518">
  <si>
    <t xml:space="preserve"> </t>
  </si>
  <si>
    <t xml:space="preserve">Sh.“000” </t>
  </si>
  <si>
    <t>Revenue</t>
  </si>
  <si>
    <t>Cost of sales</t>
  </si>
  <si>
    <t>Distribution costs</t>
  </si>
  <si>
    <t>Administrative expenses</t>
  </si>
  <si>
    <t>Bank balance</t>
  </si>
  <si>
    <t>Ordinary share capital (Sh.10 par value)</t>
  </si>
  <si>
    <t>Share premium</t>
  </si>
  <si>
    <t>Retained earnings as at 1 July 2023</t>
  </si>
  <si>
    <t>Property at cost (Buildings: Sh.150 million)</t>
  </si>
  <si>
    <t>Plant and equipment at cost</t>
  </si>
  <si>
    <t>Motor vehicles at cost</t>
  </si>
  <si>
    <t>Furniture and fixtures at cost</t>
  </si>
  <si>
    <t>Accumulated depreciation as at 1 July 2023:</t>
  </si>
  <si>
    <t xml:space="preserve">  Deferred tax</t>
  </si>
  <si>
    <t xml:space="preserve">  Current tax</t>
  </si>
  <si>
    <t>Investment property at fair value</t>
  </si>
  <si>
    <t>12% bank loan</t>
  </si>
  <si>
    <t xml:space="preserve">Interim dividend paid                                                     </t>
  </si>
  <si>
    <t xml:space="preserve">Additional information: </t>
  </si>
  <si>
    <t xml:space="preserve">Assets </t>
  </si>
  <si>
    <t xml:space="preserve">Rate per annum </t>
  </si>
  <si>
    <t xml:space="preserve">Plant and equipment </t>
  </si>
  <si>
    <t xml:space="preserve">Motor vehicles </t>
  </si>
  <si>
    <t xml:space="preserve">Furniture and fixtures </t>
  </si>
  <si>
    <t>The corporation tax rate applicable to Lakers Limited is 30%.</t>
  </si>
  <si>
    <t xml:space="preserve">Required: </t>
  </si>
  <si>
    <t xml:space="preserve">(i)                  Statement of profit or loss and other comprehensive income for the year ended 30 June 2024. </t>
  </si>
  <si>
    <t xml:space="preserve">(ii)                Statement of changes in equity for the year ended 30 June 2024. </t>
  </si>
  <si>
    <t xml:space="preserve">(iii)              Statement of financial position as at 30 June 2024. </t>
  </si>
  <si>
    <t>The buildings were being depreciated on a straight line basis over their economic useful life, originally of 50 years and annual depreciation charged to administrative expenses.</t>
  </si>
  <si>
    <t xml:space="preserve"> However, the company does not intend to account for deferred tax on the revaluation surplus.</t>
  </si>
  <si>
    <t xml:space="preserve">The remaining useful life of buildings remained unchanged. </t>
  </si>
  <si>
    <t>Lakers Limited will make annual transfer to retained earnings in respect of excess depreciation upon revaluation of its assets.</t>
  </si>
  <si>
    <t xml:space="preserve">1.  On 1 July 2023, the property of Lakers Limited was revalued for the first time to a market value of Sh.190 million of which Sh.100 million related to the buildings. </t>
  </si>
  <si>
    <t>2. Depreciation on other non-current assets is to be provided and allocated as follows:</t>
  </si>
  <si>
    <t>3. The 12% bank loan was issued on 1 October 2023 with the same effective interest rate as the coupon rate. Interest is payable semi-annually on 31 March and 30 September.</t>
  </si>
  <si>
    <t>4.Investment property has been recorded at its fair value on 1 July 2023. The fair value gain on the investment property for the year ended 30 June 2024 amounted to Sh.1,100,000.</t>
  </si>
  <si>
    <t xml:space="preserve"> In addition, the carrying amounts of Lakers Limited’s net assets exceeded their tax bases by Sh.73 million at       30 June 2024.</t>
  </si>
  <si>
    <t xml:space="preserve">5.The balance on the current tax in the above trial balance represents the withholding tax paid on the company’s behalf. </t>
  </si>
  <si>
    <t>The current income tax for the year ended 30 June 2024 is estimated at Sh.69 million.</t>
  </si>
  <si>
    <t>The rights issue had already been posted in the financial records of Lakers Limited.</t>
  </si>
  <si>
    <t xml:space="preserve">6.  During the year ended 30 June 2024, the company made a rights issue of ordinary shares at a concessionary price of Sh.12 per share, </t>
  </si>
  <si>
    <t xml:space="preserve">on the basis of one new share for every five held. </t>
  </si>
  <si>
    <t>Sh.“000 "</t>
  </si>
  <si>
    <t xml:space="preserve">                                                                                         -Buildings</t>
  </si>
  <si>
    <t xml:space="preserve">                                                                                        -Plant and equipment</t>
  </si>
  <si>
    <t xml:space="preserve">                                                                                        -Motor vehicles</t>
  </si>
  <si>
    <t xml:space="preserve">                                                                                       - Furniture and fixtures</t>
  </si>
  <si>
    <t xml:space="preserve"> trade payables</t>
  </si>
  <si>
    <t>Trade receivables</t>
  </si>
  <si>
    <t>Ordinary share capital of Sh.100 each</t>
  </si>
  <si>
    <t xml:space="preserve">  12% preference share capital of Sh.100 each</t>
  </si>
  <si>
    <t xml:space="preserve">  Share premium</t>
  </si>
  <si>
    <t xml:space="preserve">  10% debentures</t>
  </si>
  <si>
    <t xml:space="preserve">  Accounts payable</t>
  </si>
  <si>
    <t xml:space="preserve">  Accounts receivable</t>
  </si>
  <si>
    <t xml:space="preserve">  Sales      </t>
  </si>
  <si>
    <t xml:space="preserve">  Purchases    </t>
  </si>
  <si>
    <t xml:space="preserve">  Discounts allowed</t>
  </si>
  <si>
    <t>Discounts received</t>
  </si>
  <si>
    <t>Sh.“000”</t>
  </si>
  <si>
    <t>Freehold buildings</t>
  </si>
  <si>
    <t>Furniture and fittings</t>
  </si>
  <si>
    <t xml:space="preserve">   </t>
  </si>
  <si>
    <t>Accumulated depreciation:</t>
  </si>
  <si>
    <t xml:space="preserve">  Freehold buildings</t>
  </si>
  <si>
    <t xml:space="preserve">  Furniture and fittings</t>
  </si>
  <si>
    <t>Inventory (1 July 2023)</t>
  </si>
  <si>
    <t>Returns outward</t>
  </si>
  <si>
    <t xml:space="preserve">Rent expenses </t>
  </si>
  <si>
    <t>Selling and distribution expenses</t>
  </si>
  <si>
    <t>Bad debts written off</t>
  </si>
  <si>
    <t>Allowance for doubtful debts</t>
  </si>
  <si>
    <t>Retained earnings (1 July 2023)</t>
  </si>
  <si>
    <t>Goodwill</t>
  </si>
  <si>
    <t xml:space="preserve">Bank overdraft </t>
  </si>
  <si>
    <t xml:space="preserve">(a)  The following trial balance was extracted from the books of Hibiscus Ltd. as at 30 June 2024: </t>
  </si>
  <si>
    <t>The following additional information is available:</t>
  </si>
  <si>
    <t xml:space="preserve">Asset </t>
  </si>
  <si>
    <t xml:space="preserve">Rate per annum (%) </t>
  </si>
  <si>
    <t xml:space="preserve">Freehold buildings </t>
  </si>
  <si>
    <t xml:space="preserve">Furniture and fittings </t>
  </si>
  <si>
    <t xml:space="preserve">  </t>
  </si>
  <si>
    <t>(10 marks)</t>
  </si>
  <si>
    <t>(6 marks)</t>
  </si>
  <si>
    <t>sh"000"</t>
  </si>
  <si>
    <t xml:space="preserve">(i) Statement of profit or loss for the year ended 30 June 2024.  </t>
  </si>
  <si>
    <t xml:space="preserve">9.  Corporation tax is charged at the rate of 30% of the net profit.  </t>
  </si>
  <si>
    <t>7.  As at 30 June 2024, inventory was valued at Sh.7,280,000.</t>
  </si>
  <si>
    <t>6 The company paid the interest on debentures for the year ended 30 June 2024 on 31 July 2024.</t>
  </si>
  <si>
    <t>5.  Administrative expenses accrued as at 30 June 2024 amounted to Sh.95,000.</t>
  </si>
  <si>
    <t>4.  Rent expenses prepaid as at 30 June 2024 amounted to Sh.52,000.</t>
  </si>
  <si>
    <t xml:space="preserve">3.  The allowance for doubtful debt as at 30 June 2024 is to be adjusted to 10% of accounts receivable.  </t>
  </si>
  <si>
    <t>1.   Depreciation on non-current assets is provided on a straight line basis at the following rates:</t>
  </si>
  <si>
    <t xml:space="preserve">QUESTION ONE </t>
  </si>
  <si>
    <t xml:space="preserve">4. Credit sales during the year amounted to Sh.125,000,000 while cash sales amounted to Sh.6,500,000. </t>
  </si>
  <si>
    <t xml:space="preserve">As at 30 June 2024, Sh.3,000,000 accounts payable to suppliers was still outstanding. </t>
  </si>
  <si>
    <t xml:space="preserve">7. As at 30 June 2024, inventory was valued at Sh.7,200,000. </t>
  </si>
  <si>
    <t xml:space="preserve">8. Credit suppliers and credit customers are paid and pay through the bank respectively. </t>
  </si>
  <si>
    <t>9. The following payments were made through the bank during the year:</t>
  </si>
  <si>
    <t xml:space="preserve">Expenses </t>
  </si>
  <si>
    <t>Rent expenses</t>
  </si>
  <si>
    <t>Purchase of furniture (1 July 2023)</t>
  </si>
  <si>
    <t>Salaries and wages</t>
  </si>
  <si>
    <t>Transport</t>
  </si>
  <si>
    <t>Insurance</t>
  </si>
  <si>
    <t>Advertisement</t>
  </si>
  <si>
    <t>Repair of motor vehicle (van)</t>
  </si>
  <si>
    <t>Electricity and internet</t>
  </si>
  <si>
    <t>Carriage inwards</t>
  </si>
  <si>
    <t xml:space="preserve">10. Furniture was to be depreciated at the rate of 15% per annum on a straight line basis. </t>
  </si>
  <si>
    <t>(a) Statement of profit or loss for the year ended 30 June 2024. (12 marks)</t>
  </si>
  <si>
    <t xml:space="preserve"> (b) Statement of financial position as at 30 June 2024. (8 marks)</t>
  </si>
  <si>
    <t>SECTION II (60 MARKS)</t>
  </si>
  <si>
    <t>Answer BOTH questions in this Section.</t>
  </si>
  <si>
    <t>QUESTION 21</t>
  </si>
  <si>
    <t>Fanisi Limited, a listed company, has provided the following trial balance as at 30 June 2023.</t>
  </si>
  <si>
    <t>DR</t>
  </si>
  <si>
    <t>CR</t>
  </si>
  <si>
    <t>Sh."000"</t>
  </si>
  <si>
    <t>Purchases</t>
  </si>
  <si>
    <t>Inventory as at 1 July 2022</t>
  </si>
  <si>
    <t>Distribution Costs</t>
  </si>
  <si>
    <t>Administration Expenses</t>
  </si>
  <si>
    <t>Rent Income</t>
  </si>
  <si>
    <t>Land and Buildings</t>
  </si>
  <si>
    <t xml:space="preserve">        Accumulated depreciation as at 1 July 2022</t>
  </si>
  <si>
    <t>Plant and equipment</t>
  </si>
  <si>
    <t>Investment Property</t>
  </si>
  <si>
    <t>Trade Receivables</t>
  </si>
  <si>
    <t>Cash and Cash Equivalents</t>
  </si>
  <si>
    <t>Ordinary Share Capital</t>
  </si>
  <si>
    <t>Share Premium</t>
  </si>
  <si>
    <t>Retained Earnings as at 1 July 2022</t>
  </si>
  <si>
    <t>Dividends Paid</t>
  </si>
  <si>
    <t>General Reserve</t>
  </si>
  <si>
    <t>Equipment</t>
  </si>
  <si>
    <t>Bank</t>
  </si>
  <si>
    <t>8% Loan stock</t>
  </si>
  <si>
    <t>Trade Payables</t>
  </si>
  <si>
    <t>Proceeds on sale of equipment</t>
  </si>
  <si>
    <t>Further information to be taken into account:</t>
  </si>
  <si>
    <t xml:space="preserve">1.   Inventory is provided at Sh.97,000,000 at cost and Sh.95,250, 000 at net realisable value. </t>
  </si>
  <si>
    <t xml:space="preserve">2.   At the beginning of the year, Fanisi Limited disposed of some old equipment for Sh.1,750,000. The equipment had cost Sh.3,750, 000 and had </t>
  </si>
  <si>
    <t xml:space="preserve">      accumulated depreciation brought forward at 1 July 2022 of Sh.750,000.</t>
  </si>
  <si>
    <t xml:space="preserve">     There were no other additions or disposals to property, plant and equipment in the year.</t>
  </si>
  <si>
    <t xml:space="preserve">3.   The company classifies depreciation on plant and equipment as a cost of sale and on land and buildings as an administrative cost. </t>
  </si>
  <si>
    <t xml:space="preserve">      Depreciation rates are as follows:</t>
  </si>
  <si>
    <t xml:space="preserve">             Buildings                    -    Straight line over 50 years </t>
  </si>
  <si>
    <t xml:space="preserve">             Plant and equipment    -    20% reducing balance</t>
  </si>
  <si>
    <t xml:space="preserve">       Fanisi Limited's accounting policy is to charge a full year's depreciation in the year of an asset's purchase and none in the year of disposal. </t>
  </si>
  <si>
    <t xml:space="preserve">       Fanisi Limited's land and buildings were eight years old as at 1 July 2022.</t>
  </si>
  <si>
    <t xml:space="preserve">4.    On 30 June 2023, the company revalued its land and buildings to Sh.190,000,000 (including Sh.2,500,000 for the land). The company </t>
  </si>
  <si>
    <t xml:space="preserve">       follows the revaluation model of IAS 16 for its land and buildings, but no revaluations had been carried out. The company wishes to treat </t>
  </si>
  <si>
    <t xml:space="preserve">       the revaluation surplus as being realised on disposal of the assets.</t>
  </si>
  <si>
    <t>5.    Expected credit loss (an administration expense) is on average 10% of the trade receivables.</t>
  </si>
  <si>
    <t xml:space="preserve">6.    The income tax charge (current and deferred tax) for the year is estimated at Sh.11,250,000 (of which Sh.4,250,000 relates to future </t>
  </si>
  <si>
    <t xml:space="preserve">       payable tax on the revaluation of land and buildings to be charged to other comprehensive income (and the revaluation surplus).</t>
  </si>
  <si>
    <t>7.    On 1 January 2023, Fanisi Limited made a 1 for 4 bonus issue, capitalising its general reserve.</t>
  </si>
  <si>
    <t xml:space="preserve">       This transaction had not yet been accounted for. The fair value of the company's shares on the date of the bonus issue was Sh.37.50 per share.</t>
  </si>
  <si>
    <t xml:space="preserve">8.    Fanisi Limited uses the fair value model of IAS 40. The fair value of the investment property as at 30 June 2023 was Sh.147,000,000. </t>
  </si>
  <si>
    <t>As per IAS 1:</t>
  </si>
  <si>
    <t>(i)         Statement of Profit or Loss and other comprehensive incomes for year ended 30 June 2023.</t>
  </si>
  <si>
    <t>(ii)        Statement of changes in Equtity for the year ended 30 June 2023.</t>
  </si>
  <si>
    <t>(iii)       Statement of financial position as at 30 June 2023.</t>
  </si>
  <si>
    <t>The following trial balance was extracted from the books of Gala Ltd., a manufacturing company as at 31 October 2023:</t>
  </si>
  <si>
    <t>Ordinary share capital</t>
  </si>
  <si>
    <t>Revaluation reserve (1 November 2022)</t>
  </si>
  <si>
    <t>Retained earnings (1 November 2022)</t>
  </si>
  <si>
    <t>Production costs</t>
  </si>
  <si>
    <t>Distribution cost</t>
  </si>
  <si>
    <t>Interest on loan</t>
  </si>
  <si>
    <t>Research and development</t>
  </si>
  <si>
    <t>Land and building at valuation (1 November 2022)</t>
  </si>
  <si>
    <t>Equipment at cost</t>
  </si>
  <si>
    <t xml:space="preserve">Investment property at valuation (1 November 2022)
</t>
  </si>
  <si>
    <t>Accumulated depreciation (1 November 2022):</t>
  </si>
  <si>
    <t>Building</t>
  </si>
  <si>
    <t>Intangible assets at cost</t>
  </si>
  <si>
    <t>Accumulated amortisation (1 November 2022)</t>
  </si>
  <si>
    <t>Inventory (1 November 2022)</t>
  </si>
  <si>
    <t>trade payables</t>
  </si>
  <si>
    <t>10% bank loan long term</t>
  </si>
  <si>
    <t>Interim dividends paid</t>
  </si>
  <si>
    <t>Corporate tax payable</t>
  </si>
  <si>
    <t xml:space="preserve">1. Inventory as at 31 October 2023 was valued at Sh.130,000,000, but it was subsequently discovered that goods </t>
  </si>
  <si>
    <t xml:space="preserve">included in this value with a cost of Sh.14,000,000 were sold for Sh.4,000,000. </t>
  </si>
  <si>
    <t xml:space="preserve">2. Gala Ltd. took out the bank loan of Sh.2,000,000,000 on 1 November 2022 which is repayable in four equal </t>
  </si>
  <si>
    <t xml:space="preserve">annual installments. The interest rate on the loan is 10% per annum payable semi-annually. </t>
  </si>
  <si>
    <t xml:space="preserve">3. The corporation tax for the previous year was paid during the current year. The corporation tax for the year ended </t>
  </si>
  <si>
    <t xml:space="preserve">31 October 2023 was Sh.1,250,000,000. </t>
  </si>
  <si>
    <t xml:space="preserve">4. The directors have discovered that a customer who owed Sh.250,000,000 as at year end was declared bankrupt. </t>
  </si>
  <si>
    <t xml:space="preserve">5. Included in the revenue is a grant from the government of Sh.300,000,000 that Gala Ltd. received for accepting to </t>
  </si>
  <si>
    <t xml:space="preserve">employ additional youth in the next financial year. </t>
  </si>
  <si>
    <t xml:space="preserve">6. Research and development expenditure comprised of: </t>
  </si>
  <si>
    <t xml:space="preserve">•    Sh.160,000,000 on general research. </t>
  </si>
  <si>
    <r>
      <t>the start of the year. The remaining useful life was 20 years as at 1 November 2022.</t>
    </r>
    <r>
      <rPr>
        <b/>
        <sz val="12"/>
        <color rgb="FF000000"/>
        <rFont val="Times New Roman"/>
        <family val="1"/>
      </rPr>
      <t xml:space="preserve"> </t>
    </r>
  </si>
  <si>
    <t xml:space="preserve">9. As at 31 October 2023, the values were as follows: </t>
  </si>
  <si>
    <t xml:space="preserve">• Land Sh.2,500,000,000 </t>
  </si>
  <si>
    <t xml:space="preserve">•  Building Sh.1,140,000,000 </t>
  </si>
  <si>
    <t xml:space="preserve">•  50% on production. </t>
  </si>
  <si>
    <t xml:space="preserve">•  25% in the administrative functions. </t>
  </si>
  <si>
    <t xml:space="preserve">•  25% in the distribution functions. </t>
  </si>
  <si>
    <t xml:space="preserve">(a)  A statement of comprehensive income for the year ended 31 October 2023. (10 marks) </t>
  </si>
  <si>
    <t xml:space="preserve">(b)  Statement of financial position as at 30 October 2023. (10 marks) </t>
  </si>
  <si>
    <t>SECTION III (20 MARKS)</t>
  </si>
  <si>
    <t xml:space="preserve">Answer only ONE (1) question in this section. </t>
  </si>
  <si>
    <t>QUESTION 24:</t>
  </si>
  <si>
    <t>You have a new audit client, Miriam Akello, who began a dental practice at AMK Doctors' Plaza in the year 2023.</t>
  </si>
  <si>
    <t>The following transactions took place during the year ended 31 December 2023:</t>
  </si>
  <si>
    <t xml:space="preserve">1.     Miriam opened a separate bank account for the practice and deposited Sh.5 million as capital.In addition, she obtained a loan from the bank </t>
  </si>
  <si>
    <t xml:space="preserve">        amounting to Sh.5 million at an interest rate of 12% annually. The loan will be paid over a 5 year period at Sh.1 million annually,  together with  </t>
  </si>
  <si>
    <t xml:space="preserve">        interest due at the end of each year. </t>
  </si>
  <si>
    <t xml:space="preserve">       </t>
  </si>
  <si>
    <t>2.     Miriam imported three dental equipment at a price of Sh.600,000 each and incurred freight, insurance and port clearance costs of Sh.200,000.</t>
  </si>
  <si>
    <t xml:space="preserve">        The equipment is depreciated over five years. </t>
  </si>
  <si>
    <t>3.    Miriam also bought other equipment for Sh.1 million, furniture and fixtures for Sh.2 million and dental books worth Sh.500,000. Both the equipment</t>
  </si>
  <si>
    <t xml:space="preserve">       and furniture were to be depreciated over 8 years, while the dental books have a useful life  of 5 years for the purpose of amortisation. </t>
  </si>
  <si>
    <t>4.    Miriam hired a dental assistant, who also doubled as the clinic administrator at Sh.60,000 monthly salary,  a receptionist, carrying out  other clerical duties</t>
  </si>
  <si>
    <t xml:space="preserve">       at Sh.30,000 per month and a cleaner/casual at Sh.15,000 per month. They all began employment on 1 January 2023.</t>
  </si>
  <si>
    <t xml:space="preserve">5.    Miriam also hired the services of two other dentists to serve the increased number of patients or when she was visiting another hospital for consultation. </t>
  </si>
  <si>
    <t xml:space="preserve">       During the year, the two dentists were paid for professional services at Sh.2 million.  In addition, Miriam offered some interns learning  </t>
  </si>
  <si>
    <t xml:space="preserve">       opportunities and paid them a total stipend of Sh.300,000. </t>
  </si>
  <si>
    <t>6.    During the year, patients paid Sh.6 million in cash, while those on various insurance and medical covers were treated at a total of Sh.4 million.</t>
  </si>
  <si>
    <t xml:space="preserve">       By the end of the year, the corporates and insurance companies had paid Sh.2.8 million directly into the business bank account. Miriam also noted</t>
  </si>
  <si>
    <t xml:space="preserve">       that a client owing Sh.200,000 became bankrupt and would likely not pay, while the balance had nearly 0% probability of default. </t>
  </si>
  <si>
    <t>7.   The cash that was received was banked but after paying for the following items:</t>
  </si>
  <si>
    <t xml:space="preserve">      Cash drawings for personal use by Miriam averaged Sh.40,000 per month. By the end of the year, only Sh.120,000 was available in the office safe.</t>
  </si>
  <si>
    <t xml:space="preserve">8.    Majority of transactions took place in the bank, except for the one highlighted in note 7. </t>
  </si>
  <si>
    <t xml:space="preserve">       Miriam placed some amount in a fixed deposit account and earned interest of Sh.120,000. Other expenses were mainly salaries to staff, interest on loan, rent </t>
  </si>
  <si>
    <t xml:space="preserve">       of Sh.100,000 per month, electricity and water worth Sh.60,000 for 11 months to 30 November 2023. She also paid Sh.30,000 as subscriptions to the </t>
  </si>
  <si>
    <t xml:space="preserve">       dental association.</t>
  </si>
  <si>
    <t xml:space="preserve">       Note that Miriam had paid 3 months' deposit on rent, which was refundable upon the termination of the lease. </t>
  </si>
  <si>
    <t xml:space="preserve">       Miriam also drew Sh.60,000 every month for personal expenses from the bank. Meanwhile, the electricity and water bills for December 2023</t>
  </si>
  <si>
    <t xml:space="preserve">       had not been paid, but were subsequently received and settled in January 2024 at Sh.4,500.  </t>
  </si>
  <si>
    <t>9.    Miriam bought surgical and prescription medicine worth Sh.1.5 million on credit. By the end of the year, she had already paid Sh.800,000 of the amount</t>
  </si>
  <si>
    <t xml:space="preserve">       owing while surgical and prescription medicine worth Sh.400,000 was available by the end of the year. </t>
  </si>
  <si>
    <t>Required:</t>
  </si>
  <si>
    <t xml:space="preserve">Prepare </t>
  </si>
  <si>
    <t xml:space="preserve">       ●     Surgical and prescription medicine Sh.500,000</t>
  </si>
  <si>
    <t xml:space="preserve">       ●     Stationery Sh.40,000</t>
  </si>
  <si>
    <t xml:space="preserve">       ●     Cleaning consumables Sh.20,000</t>
  </si>
  <si>
    <t xml:space="preserve">Angela Riziki started a wholesale business on 1 July 2023 by depositing Sh.12,000,000 into a business bank account. </t>
  </si>
  <si>
    <t>Finance cost</t>
  </si>
  <si>
    <t xml:space="preserve">(ii  Statement of changes in equity for the year ended 30 June 2024. </t>
  </si>
  <si>
    <t xml:space="preserve">(iii) Statement of financial position as at 30 June 2024. </t>
  </si>
  <si>
    <t>shs</t>
  </si>
  <si>
    <t>Finance cost payable</t>
  </si>
  <si>
    <r>
      <t>(a)</t>
    </r>
    <r>
      <rPr>
        <sz val="12"/>
        <color rgb="FF000000"/>
        <rFont val="Times New Roman"/>
        <family val="1"/>
      </rPr>
      <t>  The following trial balance was extracted from the books of Lakers Ltd. as at 30 June 2024:</t>
    </r>
  </si>
  <si>
    <t>Revaluation of property-Land</t>
  </si>
  <si>
    <t>Revaluation of property-Buildings</t>
  </si>
  <si>
    <t>Depreciation of property</t>
  </si>
  <si>
    <t>Depreciation of Plant and equipment</t>
  </si>
  <si>
    <t>Depreciation of Motor Vehicles</t>
  </si>
  <si>
    <t>Depreciation Funiture and fixtures</t>
  </si>
  <si>
    <t>Investment income (Fair value gain)</t>
  </si>
  <si>
    <t>Finance cost paid</t>
  </si>
  <si>
    <t>Inventory 30 June 2024</t>
  </si>
  <si>
    <t>Motor vehicles</t>
  </si>
  <si>
    <t>Details</t>
  </si>
  <si>
    <t>(a) Statement of profit or loss for the year ended 31st Decemebr 2023. (12 marks)</t>
  </si>
  <si>
    <t xml:space="preserve"> (b) Statement of financial position as at 31st Decemebr 2023. (8 marks)</t>
  </si>
  <si>
    <t>Buildings</t>
  </si>
  <si>
    <t>Sh.</t>
  </si>
  <si>
    <t>Retained earnings as at 1 January 2024</t>
  </si>
  <si>
    <t>Sales</t>
  </si>
  <si>
    <t>Accounts receivables</t>
  </si>
  <si>
    <t>Accounts payables</t>
  </si>
  <si>
    <t>Other receivables</t>
  </si>
  <si>
    <t>10% debentures</t>
  </si>
  <si>
    <t>Investment income</t>
  </si>
  <si>
    <t>Investment property (4% interest rate)</t>
  </si>
  <si>
    <t>Income tax expense</t>
  </si>
  <si>
    <t>Tax payable account</t>
  </si>
  <si>
    <t>Allowance for credit loss</t>
  </si>
  <si>
    <t>Allowance for depreciation:</t>
  </si>
  <si>
    <t>Rhino Ltd. extracted the following trial balance as at 31 December 2024</t>
  </si>
  <si>
    <t>Additional information:</t>
  </si>
  <si>
    <t>-  5% on cost</t>
  </si>
  <si>
    <t>Credit :  Retained profits</t>
  </si>
  <si>
    <r>
      <t>(i)</t>
    </r>
    <r>
      <rPr>
        <sz val="7"/>
        <color theme="1"/>
        <rFont val="Times New Roman"/>
        <family val="1"/>
      </rPr>
      <t xml:space="preserve">                  </t>
    </r>
    <r>
      <rPr>
        <sz val="10"/>
        <color theme="1"/>
        <rFont val="Times New Roman"/>
        <family val="1"/>
      </rPr>
      <t>Statement of profit or loss for the year ended 31 December 2024.</t>
    </r>
  </si>
  <si>
    <r>
      <t>(ii)</t>
    </r>
    <r>
      <rPr>
        <sz val="7"/>
        <color theme="1"/>
        <rFont val="Times New Roman"/>
        <family val="1"/>
      </rPr>
      <t xml:space="preserve">                </t>
    </r>
    <r>
      <rPr>
        <sz val="10"/>
        <color theme="1"/>
        <rFont val="Times New Roman"/>
        <family val="1"/>
      </rPr>
      <t>Statement of financial position as at 31 December 2024.</t>
    </r>
  </si>
  <si>
    <r>
      <t>1.</t>
    </r>
    <r>
      <rPr>
        <sz val="10"/>
        <color theme="1"/>
        <rFont val="Times New Roman"/>
        <family val="1"/>
      </rPr>
      <t>Rhino Ltd. held an inventory count at the year end</t>
    </r>
    <r>
      <rPr>
        <sz val="11"/>
        <color theme="1"/>
        <rFont val="Times New Roman"/>
        <family val="1"/>
      </rPr>
      <t xml:space="preserve"> which revealed that </t>
    </r>
  </si>
  <si>
    <t xml:space="preserve">These will need to be sold at a 40% discount on selling price in order to sell them. </t>
  </si>
  <si>
    <t>Rhino sells these goods at a mark up of 20%.</t>
  </si>
  <si>
    <r>
      <t>4.</t>
    </r>
    <r>
      <rPr>
        <b/>
        <sz val="7"/>
        <color theme="1"/>
        <rFont val="Times New Roman"/>
        <family val="1"/>
      </rPr>
      <t> </t>
    </r>
    <r>
      <rPr>
        <b/>
        <sz val="10"/>
        <color theme="1"/>
        <rFont val="Times New Roman"/>
        <family val="1"/>
      </rPr>
      <t xml:space="preserve">Depreciation is provided per annum as follows: </t>
    </r>
  </si>
  <si>
    <t>- 10% on reducing balance</t>
  </si>
  <si>
    <t xml:space="preserve"> Motor vehicles  </t>
  </si>
  <si>
    <t>-   25% on reducing balance</t>
  </si>
  <si>
    <t>This had been treated as shown below in the financial statements:</t>
  </si>
  <si>
    <t>were found to be recoverable in the year ended 31 December 2024.</t>
  </si>
  <si>
    <r>
      <t>7.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Times New Roman"/>
        <family val="1"/>
      </rPr>
      <t>The company’s policy is to provide for allowance for credit loss at a rate of 4%.</t>
    </r>
  </si>
  <si>
    <t>Buildings at cost (1 January 2024)</t>
  </si>
  <si>
    <t>Equipment at cost (1 January 2024)</t>
  </si>
  <si>
    <t>Inventory (1 January 2024)</t>
  </si>
  <si>
    <t xml:space="preserve">Included in this figure is Sh.3,200 of slow moving inventories at cost. </t>
  </si>
  <si>
    <r>
      <t>2.</t>
    </r>
    <r>
      <rPr>
        <sz val="7"/>
        <color theme="1"/>
        <rFont val="Times New Roman"/>
        <family val="1"/>
      </rPr>
      <t> </t>
    </r>
    <r>
      <rPr>
        <sz val="10"/>
        <color theme="1"/>
        <rFont val="Times New Roman"/>
        <family val="1"/>
      </rPr>
      <t>Equipment costing Sh.150,000 was acquired on credit from Tausi Traders. This had not been recorded in the books.</t>
    </r>
  </si>
  <si>
    <r>
      <t>3.</t>
    </r>
    <r>
      <rPr>
        <sz val="7"/>
        <color theme="1"/>
        <rFont val="Times New Roman"/>
        <family val="1"/>
      </rPr>
      <t> </t>
    </r>
    <r>
      <rPr>
        <sz val="10"/>
        <color theme="1"/>
        <rFont val="Times New Roman"/>
        <family val="1"/>
      </rPr>
      <t>A building was disposed of for Sh.140,000 on 31 October 2024. This building had been purchased 8 years ago for Sh.200,000.</t>
    </r>
  </si>
  <si>
    <t>Debit :  Other receivables   Sh.40,000</t>
  </si>
  <si>
    <t>Sh.40,000</t>
  </si>
  <si>
    <r>
      <t>6.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Times New Roman"/>
        <family val="1"/>
      </rPr>
      <t xml:space="preserve">80% of credit loss of Sh.6,000 that had been written off to administrative expenses </t>
    </r>
  </si>
  <si>
    <t>the year end inventories at cost amounted to Sh.268,460.</t>
  </si>
  <si>
    <r>
      <t>5.</t>
    </r>
    <r>
      <rPr>
        <sz val="7"/>
        <color theme="1"/>
        <rFont val="Times New Roman"/>
        <family val="1"/>
      </rPr>
      <t> </t>
    </r>
    <r>
      <rPr>
        <sz val="10"/>
        <color theme="1"/>
        <rFont val="Times New Roman"/>
        <family val="1"/>
      </rPr>
      <t xml:space="preserve">At the year end, the directors declared dividends of Sh.40,000 for the year ended 31 December 2024. </t>
    </r>
  </si>
  <si>
    <t xml:space="preserve">Angela Riziki did not maintain a full set of accounting records. </t>
  </si>
  <si>
    <t xml:space="preserve">The following transactions took place during the year ended 30 June 2024: </t>
  </si>
  <si>
    <t xml:space="preserve">1. Brought in her personal pick-up van valued at Sh.6,000,000 to be used in the business. </t>
  </si>
  <si>
    <t>The van was estimated to have an economic useful life of 4 years as at 1 July 2023.</t>
  </si>
  <si>
    <t>rate of 15% per annum. At the end of the year the loan interest was in arrears.</t>
  </si>
  <si>
    <t xml:space="preserve"> 2. On 31 December 2023, she took a bank loan of Sh.4,000,000 at an interest </t>
  </si>
  <si>
    <t xml:space="preserve"> 3. During the year ended 30 June 2024, Angela purchased goods amounting  </t>
  </si>
  <si>
    <t>to Sh.79,000,000 on credit and Sh.6,000,000 on cash paid through the bank.</t>
  </si>
  <si>
    <t>A customer who owed Sh.1,500,000 was declared bankrupt and the debt had to</t>
  </si>
  <si>
    <t xml:space="preserve"> be written off. By 30 June 2024, accounts receivable stood at Sh.5,500,000. </t>
  </si>
  <si>
    <t xml:space="preserve">5. During the year, Angela Riziki spent Sh.2,500,000 of the cash sales received for </t>
  </si>
  <si>
    <t xml:space="preserve">her personal use and Sh.1,200,000 to pay for telephone and water bills. The balance was banked. </t>
  </si>
  <si>
    <t xml:space="preserve">6. Discount received and discount allowed during the year ended </t>
  </si>
  <si>
    <t xml:space="preserve">30 June 2024 amounted to Sh.1,800,000 and 1,100,000 respectively. </t>
  </si>
  <si>
    <t xml:space="preserve">11. As at 30 June 2024, electricity bills unpaid amounted to Sh.450,000, </t>
  </si>
  <si>
    <t xml:space="preserve">while insurance prepaid was Sh.1,200,000. </t>
  </si>
  <si>
    <t xml:space="preserve">2.     As at 30 June 2023, accounts receivables included Sh.130,000 due from Johnson Wetu who </t>
  </si>
  <si>
    <t>has now been declared bankrupt.  It has been decided to write off this debt as a bad debt.</t>
  </si>
  <si>
    <t xml:space="preserve">8.   The company directors propose that the preference shares dividend </t>
  </si>
  <si>
    <t>be paid and a dividend of 10% of the ordinary shares be paid.</t>
  </si>
  <si>
    <t xml:space="preserve">•      Sh.134,000,000 on developing new technology. </t>
  </si>
  <si>
    <t xml:space="preserve">At the end of the year the directors did not have confidence that the development will be successful. </t>
  </si>
  <si>
    <t xml:space="preserve"> almost complete and the directors are highly confident that the technology would result in significant cost savings. </t>
  </si>
  <si>
    <t>•     Sh.646,000,000 on development of new production technology. The development is</t>
  </si>
  <si>
    <t xml:space="preserve">7. Intangible assets at cost relate to a development that was being amortised over a useful life of 10 years. </t>
  </si>
  <si>
    <t xml:space="preserve">As at 1 November 2022, this was reviewed and was then assessed as having a remaining useful life of 6 years. </t>
  </si>
  <si>
    <t xml:space="preserve">8. The Sh.3,400,000,000 relating to land and building is based on last year’s valuation and includes land </t>
  </si>
  <si>
    <t xml:space="preserve">at a valuation of Sh.2,000,000,000 and has an indefinite useful life. The building should be depreciated on the value at </t>
  </si>
  <si>
    <t xml:space="preserve">10. Equipment is depreciated on straight line basis over 5 years. Gala Ltd. </t>
  </si>
  <si>
    <t xml:space="preserve">estimated that the equipment is used in the business on the following basis: </t>
  </si>
  <si>
    <t xml:space="preserve">11.  As at 31 October 2023, investment property was valued at Sh. 5,000,000,000 and </t>
  </si>
  <si>
    <t xml:space="preserve">the company policy is to use fair value on investment valuation. </t>
  </si>
  <si>
    <t>Closing inventory</t>
  </si>
  <si>
    <t>Less slow moving goods</t>
  </si>
  <si>
    <t>cost</t>
  </si>
  <si>
    <t>NRV</t>
  </si>
  <si>
    <t>Selling price of the slow moving goods</t>
  </si>
  <si>
    <t>Lower of: cost and NRV</t>
  </si>
  <si>
    <t>mark up</t>
  </si>
  <si>
    <t>Discount(40%)</t>
  </si>
  <si>
    <t>Cost of closing inventory</t>
  </si>
  <si>
    <t>cost of inventory</t>
  </si>
  <si>
    <t>LOWER OF:</t>
  </si>
  <si>
    <t>LOWER OF</t>
  </si>
  <si>
    <t>COST OF CLOSING  STOCK</t>
  </si>
  <si>
    <t>ACCUM DEPRECIATION</t>
  </si>
  <si>
    <t>BUILDINGS A/C(COST)</t>
  </si>
  <si>
    <t>DISPOSAL OF BUILDINGS A/C(COST)</t>
  </si>
  <si>
    <t>BUILDINGS A/C (NBV)</t>
  </si>
  <si>
    <t>bal b/d</t>
  </si>
  <si>
    <t>bank/cash</t>
  </si>
  <si>
    <t>Revaluation</t>
  </si>
  <si>
    <t>Disposal</t>
  </si>
  <si>
    <t>bal c/d</t>
  </si>
  <si>
    <t>buildings a/c</t>
  </si>
  <si>
    <t>Depreciation of buidings</t>
  </si>
  <si>
    <t>Accum depreciation-Buildings</t>
  </si>
  <si>
    <t>CHECK</t>
  </si>
  <si>
    <t>accum dep</t>
  </si>
  <si>
    <t>Disposal a/c</t>
  </si>
  <si>
    <t>Procceds on disposal</t>
  </si>
  <si>
    <t>IS depreciation expense for the year</t>
  </si>
  <si>
    <t>IS(gain on disposal)</t>
  </si>
  <si>
    <t>Depreciation</t>
  </si>
  <si>
    <t>cost of the asset being disposed</t>
  </si>
  <si>
    <t>Accumulated dep of thea asset being disposed</t>
  </si>
  <si>
    <t>NBv of the asset being disposed</t>
  </si>
  <si>
    <t>NBV OF THE BUILDINGS</t>
  </si>
  <si>
    <t>NBV=COST - ACCUM DEP</t>
  </si>
  <si>
    <t>DISPOSAL OF BUILDINGS A/C NBV)</t>
  </si>
  <si>
    <t>Proceeds on disposal</t>
  </si>
  <si>
    <t>NB ASSUME THAT NO DEPRECIATION IS CHARGED DURING THE YEAR OF DISPOSAL</t>
  </si>
  <si>
    <t>NB ASSUME THAT  DEPRECIATION IS FULLY CHARGED DURING THE YEAR OF PURCHASE AND  DISPOSAL</t>
  </si>
  <si>
    <t>other payables</t>
  </si>
  <si>
    <t>NBV as at 1st jan 2024</t>
  </si>
  <si>
    <t>Gain on disposal of buildings</t>
  </si>
  <si>
    <t xml:space="preserve">Existing equipment </t>
  </si>
  <si>
    <t>Acc dep</t>
  </si>
  <si>
    <t>NBV as at 1st jan</t>
  </si>
  <si>
    <t>Depreciation expense</t>
  </si>
  <si>
    <t>NBV as at 31 st Dec</t>
  </si>
  <si>
    <t>New equipment</t>
  </si>
  <si>
    <t>NBV as at 31 st dec</t>
  </si>
  <si>
    <t>NBV of the equipments</t>
  </si>
  <si>
    <t>NBV</t>
  </si>
  <si>
    <t>NBV as at 31st Dec 2024</t>
  </si>
  <si>
    <t>Trade receivables as per the trial balance</t>
  </si>
  <si>
    <t>Retained profits</t>
  </si>
  <si>
    <t>less dividends</t>
  </si>
  <si>
    <t>Retained profits for the year</t>
  </si>
  <si>
    <t>DR retained earnings</t>
  </si>
  <si>
    <t>CR other receivables</t>
  </si>
  <si>
    <t>Adjusted TR</t>
  </si>
  <si>
    <t>Add recoverable TR</t>
  </si>
  <si>
    <t>Admin expenses</t>
  </si>
  <si>
    <t>provision for credit loss 4%</t>
  </si>
  <si>
    <t>provision for credit loss bal b/d</t>
  </si>
  <si>
    <t>Increase  in provision for credit</t>
  </si>
  <si>
    <t>Net trade Receivables</t>
  </si>
  <si>
    <t>cost of sales</t>
  </si>
  <si>
    <t>opening stock</t>
  </si>
  <si>
    <t>Add purchases</t>
  </si>
  <si>
    <t>Less closing stock</t>
  </si>
  <si>
    <t>Gross profit</t>
  </si>
  <si>
    <t>Other income</t>
  </si>
  <si>
    <t>Gain on disposal of PPE</t>
  </si>
  <si>
    <t>Total income</t>
  </si>
  <si>
    <t>Expenses</t>
  </si>
  <si>
    <t>Depreciation- Buildings</t>
  </si>
  <si>
    <t>Depreciation-Equipment</t>
  </si>
  <si>
    <t>Deprciation- Motor vehicles</t>
  </si>
  <si>
    <t>Increase in provision for bad debts</t>
  </si>
  <si>
    <t>Finace cost paid</t>
  </si>
  <si>
    <t>bank</t>
  </si>
  <si>
    <t>Investment income received</t>
  </si>
  <si>
    <t>Investment income receivable</t>
  </si>
  <si>
    <t>DR bank</t>
  </si>
  <si>
    <t>CR investment income receivable</t>
  </si>
  <si>
    <t>Profit before tax</t>
  </si>
  <si>
    <t>profit for the year</t>
  </si>
  <si>
    <t>Less dividends</t>
  </si>
  <si>
    <t>Profit after tax</t>
  </si>
  <si>
    <t>Retained earnings b/d</t>
  </si>
  <si>
    <t>Retained earnings c/d</t>
  </si>
  <si>
    <t>SOFP</t>
  </si>
  <si>
    <t>NON CURRENT ASSETS</t>
  </si>
  <si>
    <t>PPE</t>
  </si>
  <si>
    <t>Investment property</t>
  </si>
  <si>
    <t>CURRENT ASSETS</t>
  </si>
  <si>
    <t>Inventory</t>
  </si>
  <si>
    <t>TOTAL ASSETS</t>
  </si>
  <si>
    <t>EQUITY AND LIABILITIES</t>
  </si>
  <si>
    <t>EQUITY</t>
  </si>
  <si>
    <t>share capital</t>
  </si>
  <si>
    <t>RESERVES</t>
  </si>
  <si>
    <t>Total shareholders equity</t>
  </si>
  <si>
    <t>NON CURRENT LIABILITIES</t>
  </si>
  <si>
    <t>10% Debentures</t>
  </si>
  <si>
    <t>CURRENT LIABILITIES</t>
  </si>
  <si>
    <t>Trade payables</t>
  </si>
  <si>
    <t>Dividends payable</t>
  </si>
  <si>
    <t>Total Liabilities</t>
  </si>
  <si>
    <t>TOTAL EQUITY AND LIABILITIES</t>
  </si>
  <si>
    <t>check</t>
  </si>
  <si>
    <t>Administrative costs</t>
  </si>
  <si>
    <t>other income</t>
  </si>
  <si>
    <t>closing stock</t>
  </si>
  <si>
    <t>TOTAL</t>
  </si>
  <si>
    <t>IS</t>
  </si>
  <si>
    <t>PBT</t>
  </si>
  <si>
    <t>PAT</t>
  </si>
  <si>
    <t>STATEMENT OF CHANGES IN EQUITY</t>
  </si>
  <si>
    <t>OSC</t>
  </si>
  <si>
    <t>Retained earnings</t>
  </si>
  <si>
    <t>Total</t>
  </si>
  <si>
    <t>Bal b/d</t>
  </si>
  <si>
    <t>Dividends</t>
  </si>
  <si>
    <t>current tax</t>
  </si>
  <si>
    <t>Loss on disposal</t>
  </si>
  <si>
    <t>Depreciation for the year</t>
  </si>
  <si>
    <t>Land</t>
  </si>
  <si>
    <t>NBV as at 1 July 2022</t>
  </si>
  <si>
    <t>Net trade receivables</t>
  </si>
  <si>
    <t>Deffered tax</t>
  </si>
  <si>
    <t xml:space="preserve">BDA DECEMBER 2023 Q21 </t>
  </si>
  <si>
    <t>Closing Inventory</t>
  </si>
  <si>
    <t>Accum dep of equipment</t>
  </si>
  <si>
    <t>Disposal account</t>
  </si>
  <si>
    <t>Accum Dep</t>
  </si>
  <si>
    <t>IS(Loss)</t>
  </si>
  <si>
    <t>Accum dep</t>
  </si>
  <si>
    <t>Bal c/d</t>
  </si>
  <si>
    <t>cost of equipment</t>
  </si>
  <si>
    <t>less accum dep</t>
  </si>
  <si>
    <t>NBV as at 1 july 2022 before disposal</t>
  </si>
  <si>
    <t>NBV of the equipment disposed</t>
  </si>
  <si>
    <t>NBV as at 1 july 2022 after disposal</t>
  </si>
  <si>
    <t>NBV as at 30 june 2023</t>
  </si>
  <si>
    <t>Accumulated depreciation as at 1 july 2022</t>
  </si>
  <si>
    <t>Depreciation expense per year</t>
  </si>
  <si>
    <t>Total accum depreciation of buldings over its useful life(50 yrs)=total cost</t>
  </si>
  <si>
    <t>NBV as at 30 June 2023 before revaluation</t>
  </si>
  <si>
    <t>NBV as at 30 June 2023 after revaluation</t>
  </si>
  <si>
    <t>Revalued by</t>
  </si>
  <si>
    <t>Revalued to</t>
  </si>
  <si>
    <t>NBV as at the year end</t>
  </si>
  <si>
    <t>Add to NBV before revaluation</t>
  </si>
  <si>
    <t>Provision for credit loss</t>
  </si>
  <si>
    <t>Provision for credit loss bal b/d</t>
  </si>
  <si>
    <t>Provision for credit loss bal c/d</t>
  </si>
  <si>
    <t>Bonus issue</t>
  </si>
  <si>
    <t>Bonus issue is financed by capitalizing the reserves</t>
  </si>
  <si>
    <t>General reserves</t>
  </si>
  <si>
    <t>G/R</t>
  </si>
  <si>
    <t>Fv Adjustment of invetsment property</t>
  </si>
  <si>
    <t>OCI</t>
  </si>
  <si>
    <t>Depreciation-Land and buildings</t>
  </si>
  <si>
    <t>Revaluation surplus</t>
  </si>
  <si>
    <t>Loss on disposal of equipment</t>
  </si>
  <si>
    <t>Current tax</t>
  </si>
  <si>
    <t>profi after tax</t>
  </si>
  <si>
    <t>Profit for the year</t>
  </si>
  <si>
    <t>Dividends paid</t>
  </si>
  <si>
    <t>STAMENT OF CHANGES IN EQUITY</t>
  </si>
  <si>
    <t>Total comprehensive  income</t>
  </si>
  <si>
    <t>Property Plant and Equipment</t>
  </si>
  <si>
    <t>Cash and cash equivalents</t>
  </si>
  <si>
    <t>SHAREHOLDERS EQUITY</t>
  </si>
  <si>
    <t>NON-CURRENT LIABILITIES</t>
  </si>
  <si>
    <t>Current Tax</t>
  </si>
  <si>
    <t>TOTAL LIABILITIES</t>
  </si>
  <si>
    <t>Check</t>
  </si>
  <si>
    <t>Interest on Loan stock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</si>
</sst>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(* #,##0.0_);_(* \(#,##0.0\);_(* &quot;-&quot;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 val="singleAccounting"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sz val="11"/>
      <color rgb="FFFF0000"/>
      <name val="Times New Roman"/>
      <family val="1"/>
    </font>
    <font>
      <b/>
      <i/>
      <sz val="12"/>
      <color theme="1"/>
      <name val="Times New Roman"/>
      <family val="1"/>
    </font>
    <font>
      <b/>
      <i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164" fontId="3" fillId="0" borderId="0" xfId="1" applyNumberFormat="1" applyFont="1"/>
    <xf numFmtId="164" fontId="3" fillId="0" borderId="0" xfId="1" applyNumberFormat="1" applyFont="1" applyAlignment="1">
      <alignment horizontal="center"/>
    </xf>
    <xf numFmtId="165" fontId="3" fillId="0" borderId="0" xfId="1" applyNumberFormat="1" applyFont="1"/>
    <xf numFmtId="164" fontId="4" fillId="0" borderId="2" xfId="1" applyNumberFormat="1" applyFont="1" applyBorder="1"/>
    <xf numFmtId="164" fontId="3" fillId="0" borderId="0" xfId="1" applyNumberFormat="1" applyFont="1" applyAlignment="1">
      <alignment horizontal="left"/>
    </xf>
    <xf numFmtId="164" fontId="5" fillId="0" borderId="0" xfId="1" applyNumberFormat="1" applyFont="1" applyAlignment="1">
      <alignment horizontal="left"/>
    </xf>
    <xf numFmtId="164" fontId="3" fillId="0" borderId="0" xfId="1" applyNumberFormat="1" applyFont="1" applyBorder="1" applyAlignment="1">
      <alignment horizontal="left"/>
    </xf>
    <xf numFmtId="164" fontId="3" fillId="0" borderId="0" xfId="1" applyNumberFormat="1" applyFont="1" applyBorder="1" applyAlignment="1">
      <alignment horizontal="centerContinuous"/>
    </xf>
    <xf numFmtId="164" fontId="3" fillId="0" borderId="1" xfId="1" applyNumberFormat="1" applyFont="1" applyBorder="1" applyAlignment="1">
      <alignment horizontal="left"/>
    </xf>
    <xf numFmtId="164" fontId="4" fillId="0" borderId="1" xfId="1" applyNumberFormat="1" applyFont="1" applyBorder="1" applyAlignment="1">
      <alignment horizontal="left"/>
    </xf>
    <xf numFmtId="164" fontId="3" fillId="0" borderId="0" xfId="1" quotePrefix="1" applyNumberFormat="1" applyFont="1" applyAlignment="1">
      <alignment horizontal="left"/>
    </xf>
    <xf numFmtId="164" fontId="3" fillId="0" borderId="2" xfId="1" applyNumberFormat="1" applyFont="1" applyBorder="1" applyAlignment="1">
      <alignment horizontal="left"/>
    </xf>
    <xf numFmtId="164" fontId="6" fillId="0" borderId="0" xfId="1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/>
    <xf numFmtId="164" fontId="4" fillId="0" borderId="0" xfId="1" applyNumberFormat="1" applyFont="1" applyBorder="1"/>
    <xf numFmtId="164" fontId="4" fillId="0" borderId="0" xfId="1" applyNumberFormat="1" applyFont="1"/>
    <xf numFmtId="164" fontId="3" fillId="0" borderId="0" xfId="1" applyNumberFormat="1" applyFont="1" applyFill="1"/>
    <xf numFmtId="164" fontId="4" fillId="0" borderId="0" xfId="1" applyNumberFormat="1" applyFont="1" applyFill="1"/>
    <xf numFmtId="166" fontId="3" fillId="0" borderId="0" xfId="2" applyNumberFormat="1" applyFont="1"/>
    <xf numFmtId="167" fontId="3" fillId="0" borderId="0" xfId="0" applyNumberFormat="1" applyFont="1"/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/>
    <xf numFmtId="164" fontId="8" fillId="0" borderId="0" xfId="1" applyNumberFormat="1" applyFont="1"/>
    <xf numFmtId="0" fontId="9" fillId="0" borderId="0" xfId="0" applyFont="1"/>
    <xf numFmtId="0" fontId="8" fillId="0" borderId="0" xfId="0" quotePrefix="1" applyFont="1"/>
    <xf numFmtId="164" fontId="9" fillId="0" borderId="2" xfId="1" applyNumberFormat="1" applyFont="1" applyBorder="1"/>
    <xf numFmtId="0" fontId="8" fillId="0" borderId="0" xfId="0" applyFont="1" applyAlignment="1">
      <alignment horizontal="left"/>
    </xf>
    <xf numFmtId="164" fontId="8" fillId="0" borderId="0" xfId="0" applyNumberFormat="1" applyFont="1"/>
    <xf numFmtId="164" fontId="8" fillId="0" borderId="1" xfId="1" applyNumberFormat="1" applyFont="1" applyBorder="1"/>
    <xf numFmtId="164" fontId="8" fillId="0" borderId="4" xfId="1" applyNumberFormat="1" applyFont="1" applyBorder="1"/>
    <xf numFmtId="164" fontId="8" fillId="0" borderId="3" xfId="1" applyNumberFormat="1" applyFont="1" applyBorder="1"/>
    <xf numFmtId="164" fontId="8" fillId="0" borderId="0" xfId="1" applyNumberFormat="1" applyFont="1" applyBorder="1"/>
    <xf numFmtId="164" fontId="8" fillId="0" borderId="5" xfId="1" applyNumberFormat="1" applyFont="1" applyBorder="1"/>
    <xf numFmtId="164" fontId="9" fillId="0" borderId="5" xfId="1" applyNumberFormat="1" applyFont="1" applyBorder="1"/>
    <xf numFmtId="164" fontId="9" fillId="0" borderId="0" xfId="1" applyNumberFormat="1" applyFont="1"/>
    <xf numFmtId="164" fontId="9" fillId="0" borderId="0" xfId="1" applyNumberFormat="1" applyFont="1" applyBorder="1"/>
    <xf numFmtId="164" fontId="14" fillId="0" borderId="5" xfId="1" applyNumberFormat="1" applyFont="1" applyBorder="1"/>
    <xf numFmtId="164" fontId="14" fillId="0" borderId="0" xfId="1" applyNumberFormat="1" applyFont="1" applyBorder="1"/>
    <xf numFmtId="164" fontId="9" fillId="0" borderId="0" xfId="0" applyNumberFormat="1" applyFont="1"/>
    <xf numFmtId="0" fontId="9" fillId="0" borderId="6" xfId="0" applyFont="1" applyBorder="1"/>
    <xf numFmtId="0" fontId="8" fillId="0" borderId="6" xfId="0" applyFont="1" applyBorder="1"/>
    <xf numFmtId="164" fontId="8" fillId="0" borderId="6" xfId="1" applyNumberFormat="1" applyFont="1" applyBorder="1"/>
    <xf numFmtId="164" fontId="7" fillId="0" borderId="0" xfId="1" applyNumberFormat="1" applyFont="1"/>
    <xf numFmtId="164" fontId="3" fillId="0" borderId="1" xfId="1" applyNumberFormat="1" applyFont="1" applyBorder="1"/>
    <xf numFmtId="164" fontId="3" fillId="0" borderId="4" xfId="1" applyNumberFormat="1" applyFont="1" applyBorder="1"/>
    <xf numFmtId="164" fontId="3" fillId="0" borderId="3" xfId="1" applyNumberFormat="1" applyFont="1" applyBorder="1"/>
    <xf numFmtId="164" fontId="3" fillId="0" borderId="0" xfId="1" applyNumberFormat="1" applyFont="1" applyBorder="1"/>
    <xf numFmtId="164" fontId="3" fillId="0" borderId="5" xfId="1" applyNumberFormat="1" applyFont="1" applyBorder="1"/>
    <xf numFmtId="164" fontId="3" fillId="0" borderId="7" xfId="1" applyNumberFormat="1" applyFont="1" applyBorder="1"/>
    <xf numFmtId="164" fontId="3" fillId="0" borderId="2" xfId="1" applyNumberFormat="1" applyFont="1" applyBorder="1"/>
    <xf numFmtId="164" fontId="4" fillId="0" borderId="7" xfId="1" applyNumberFormat="1" applyFont="1" applyBorder="1"/>
    <xf numFmtId="164" fontId="3" fillId="0" borderId="0" xfId="0" applyNumberFormat="1" applyFont="1"/>
    <xf numFmtId="164" fontId="4" fillId="0" borderId="6" xfId="1" applyNumberFormat="1" applyFont="1" applyBorder="1"/>
    <xf numFmtId="0" fontId="4" fillId="0" borderId="6" xfId="0" applyFont="1" applyBorder="1"/>
    <xf numFmtId="0" fontId="3" fillId="0" borderId="6" xfId="0" applyFont="1" applyBorder="1"/>
    <xf numFmtId="164" fontId="3" fillId="0" borderId="6" xfId="1" applyNumberFormat="1" applyFont="1" applyBorder="1"/>
    <xf numFmtId="164" fontId="3" fillId="0" borderId="6" xfId="0" applyNumberFormat="1" applyFont="1" applyBorder="1"/>
    <xf numFmtId="164" fontId="4" fillId="0" borderId="6" xfId="0" applyNumberFormat="1" applyFont="1" applyBorder="1"/>
    <xf numFmtId="164" fontId="3" fillId="0" borderId="0" xfId="1" applyNumberFormat="1" applyFont="1" applyAlignment="1"/>
    <xf numFmtId="164" fontId="3" fillId="0" borderId="1" xfId="1" applyNumberFormat="1" applyFont="1" applyBorder="1" applyAlignment="1">
      <alignment horizontal="center"/>
    </xf>
    <xf numFmtId="0" fontId="15" fillId="0" borderId="0" xfId="0" applyFont="1"/>
    <xf numFmtId="164" fontId="4" fillId="0" borderId="0" xfId="0" applyNumberFormat="1" applyFont="1"/>
    <xf numFmtId="164" fontId="16" fillId="0" borderId="2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24</xdr:row>
      <xdr:rowOff>161925</xdr:rowOff>
    </xdr:from>
    <xdr:to>
      <xdr:col>11</xdr:col>
      <xdr:colOff>19050</xdr:colOff>
      <xdr:row>46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823BE-E12B-41EB-9767-DCCAAC1AF7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90" t="27865" r="24451" b="15755"/>
        <a:stretch/>
      </xdr:blipFill>
      <xdr:spPr bwMode="auto">
        <a:xfrm>
          <a:off x="409575" y="4733925"/>
          <a:ext cx="6591300" cy="412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19051</xdr:colOff>
      <xdr:row>23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CE81829-A5AD-4D8B-99B3-3B86716EA1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63" t="19400" r="21230" b="20443"/>
        <a:stretch/>
      </xdr:blipFill>
      <xdr:spPr bwMode="auto">
        <a:xfrm>
          <a:off x="0" y="0"/>
          <a:ext cx="7000876" cy="440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466725</xdr:colOff>
      <xdr:row>27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487272-D76B-40A4-981C-28AE373CD8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3" t="20053" r="20717" b="8984"/>
        <a:stretch/>
      </xdr:blipFill>
      <xdr:spPr bwMode="auto">
        <a:xfrm>
          <a:off x="0" y="0"/>
          <a:ext cx="7781925" cy="519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95249</xdr:rowOff>
    </xdr:from>
    <xdr:to>
      <xdr:col>12</xdr:col>
      <xdr:colOff>457200</xdr:colOff>
      <xdr:row>40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08BD27-C8AD-4F1D-A7FB-27ECC78F77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46" t="25651" r="20718" b="41797"/>
        <a:stretch/>
      </xdr:blipFill>
      <xdr:spPr bwMode="auto">
        <a:xfrm>
          <a:off x="0" y="5238749"/>
          <a:ext cx="7772400" cy="2381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0</xdr:rowOff>
    </xdr:from>
    <xdr:to>
      <xdr:col>11</xdr:col>
      <xdr:colOff>285750</xdr:colOff>
      <xdr:row>31</xdr:row>
      <xdr:rowOff>77820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213EAA-081B-4CFE-A33B-4849A7837D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58" t="22786" r="40995" b="14193"/>
        <a:stretch/>
      </xdr:blipFill>
      <xdr:spPr bwMode="auto">
        <a:xfrm>
          <a:off x="600075" y="0"/>
          <a:ext cx="6391275" cy="5983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352425</xdr:colOff>
      <xdr:row>31</xdr:row>
      <xdr:rowOff>47625</xdr:rowOff>
    </xdr:from>
    <xdr:to>
      <xdr:col>11</xdr:col>
      <xdr:colOff>419100</xdr:colOff>
      <xdr:row>54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5BD30C-12A7-4DB0-A1F9-7AA852929A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3" t="20442" r="25985" b="19013"/>
        <a:stretch/>
      </xdr:blipFill>
      <xdr:spPr bwMode="auto">
        <a:xfrm>
          <a:off x="352425" y="5953125"/>
          <a:ext cx="6772275" cy="442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32A1-5251-4277-A9AA-7073745D356B}">
  <dimension ref="A2:AE133"/>
  <sheetViews>
    <sheetView topLeftCell="L37" workbookViewId="0">
      <selection activeCell="Q53" sqref="Q53"/>
    </sheetView>
  </sheetViews>
  <sheetFormatPr defaultRowHeight="15" x14ac:dyDescent="0.25"/>
  <cols>
    <col min="1" max="1" width="39.28515625" style="29" customWidth="1"/>
    <col min="2" max="2" width="17.7109375" style="29" customWidth="1"/>
    <col min="3" max="3" width="15.7109375" style="29" bestFit="1" customWidth="1"/>
    <col min="4" max="4" width="6.85546875" style="29" customWidth="1"/>
    <col min="5" max="5" width="18.85546875" style="29" customWidth="1"/>
    <col min="6" max="6" width="35.5703125" style="29" customWidth="1"/>
    <col min="7" max="7" width="20.42578125" style="29" customWidth="1"/>
    <col min="8" max="8" width="11.42578125" style="29" bestFit="1" customWidth="1"/>
    <col min="9" max="11" width="9.140625" style="29"/>
    <col min="12" max="12" width="30.7109375" style="29" customWidth="1"/>
    <col min="13" max="13" width="14" style="29" customWidth="1"/>
    <col min="14" max="14" width="21.28515625" style="29" customWidth="1"/>
    <col min="15" max="15" width="20" style="29" customWidth="1"/>
    <col min="16" max="16" width="13.42578125" style="29" customWidth="1"/>
    <col min="17" max="17" width="31.28515625" style="29" customWidth="1"/>
    <col min="18" max="18" width="14.5703125" style="29" bestFit="1" customWidth="1"/>
    <col min="19" max="20" width="9.140625" style="29"/>
    <col min="21" max="21" width="18.28515625" style="29" bestFit="1" customWidth="1"/>
    <col min="22" max="22" width="10.85546875" style="29" customWidth="1"/>
    <col min="23" max="23" width="16.140625" style="29" customWidth="1"/>
    <col min="24" max="27" width="9.140625" style="29"/>
    <col min="28" max="28" width="11.28515625" style="29" customWidth="1"/>
    <col min="29" max="29" width="11.42578125" style="29" bestFit="1" customWidth="1"/>
    <col min="30" max="30" width="16.5703125" style="29" customWidth="1"/>
    <col min="31" max="31" width="12.85546875" style="29" bestFit="1" customWidth="1"/>
    <col min="32" max="16384" width="9.140625" style="29"/>
  </cols>
  <sheetData>
    <row r="2" spans="12:31" x14ac:dyDescent="0.25">
      <c r="T2" s="29" t="s">
        <v>453</v>
      </c>
      <c r="AB2" s="29" t="s">
        <v>456</v>
      </c>
    </row>
    <row r="4" spans="12:31" x14ac:dyDescent="0.25">
      <c r="L4" s="31" t="s">
        <v>261</v>
      </c>
      <c r="M4" s="31" t="s">
        <v>404</v>
      </c>
      <c r="N4" s="31" t="s">
        <v>449</v>
      </c>
      <c r="O4" s="31" t="s">
        <v>4</v>
      </c>
      <c r="P4" s="31" t="s">
        <v>245</v>
      </c>
      <c r="Q4" s="31" t="s">
        <v>450</v>
      </c>
      <c r="U4" s="29" t="s">
        <v>267</v>
      </c>
      <c r="W4" s="35">
        <f>N30</f>
        <v>7542520</v>
      </c>
    </row>
    <row r="5" spans="12:31" x14ac:dyDescent="0.25">
      <c r="L5" s="29" t="s">
        <v>405</v>
      </c>
      <c r="M5" s="35">
        <f>M32</f>
        <v>284650</v>
      </c>
      <c r="U5" s="29" t="s">
        <v>404</v>
      </c>
      <c r="W5" s="35">
        <f>M17</f>
        <v>5125567</v>
      </c>
      <c r="AB5" s="47" t="s">
        <v>261</v>
      </c>
      <c r="AC5" s="47" t="s">
        <v>457</v>
      </c>
      <c r="AD5" s="47" t="s">
        <v>458</v>
      </c>
      <c r="AE5" s="47" t="s">
        <v>459</v>
      </c>
    </row>
    <row r="6" spans="12:31" x14ac:dyDescent="0.25">
      <c r="L6" s="29" t="s">
        <v>122</v>
      </c>
      <c r="M6" s="35">
        <f>M33</f>
        <v>4875260</v>
      </c>
      <c r="U6" s="31" t="s">
        <v>408</v>
      </c>
      <c r="V6" s="31"/>
      <c r="W6" s="46">
        <f>W4-W5</f>
        <v>2416953</v>
      </c>
      <c r="AB6" s="48" t="s">
        <v>460</v>
      </c>
      <c r="AC6" s="49">
        <v>180000</v>
      </c>
      <c r="AD6" s="49">
        <f>C30-40000</f>
        <v>438534</v>
      </c>
      <c r="AE6" s="49">
        <f>SUM(AC6:AD6)</f>
        <v>618534</v>
      </c>
    </row>
    <row r="7" spans="12:31" x14ac:dyDescent="0.25">
      <c r="L7" s="29" t="s">
        <v>451</v>
      </c>
      <c r="M7" s="35">
        <f>M34</f>
        <v>-266924</v>
      </c>
      <c r="U7" s="29" t="s">
        <v>450</v>
      </c>
      <c r="W7" s="35">
        <f>Q17</f>
        <v>8000</v>
      </c>
      <c r="AB7" s="48" t="s">
        <v>455</v>
      </c>
      <c r="AC7" s="49"/>
      <c r="AD7" s="49">
        <f>W15</f>
        <v>1059533</v>
      </c>
      <c r="AE7" s="49">
        <f>SUM(AC7:AD7)</f>
        <v>1059533</v>
      </c>
    </row>
    <row r="8" spans="12:31" x14ac:dyDescent="0.25">
      <c r="L8" s="29" t="s">
        <v>410</v>
      </c>
      <c r="M8" s="35">
        <f>-M37</f>
        <v>-30000</v>
      </c>
      <c r="U8" s="31" t="s">
        <v>411</v>
      </c>
      <c r="V8" s="31"/>
      <c r="W8" s="46">
        <f>SUM(W6:W7)</f>
        <v>2424953</v>
      </c>
      <c r="AB8" s="48" t="s">
        <v>461</v>
      </c>
      <c r="AC8" s="49"/>
      <c r="AD8" s="49">
        <f>-N53</f>
        <v>-40000</v>
      </c>
      <c r="AE8" s="49">
        <f>SUM(AC8:AD8)</f>
        <v>-40000</v>
      </c>
    </row>
    <row r="9" spans="12:31" x14ac:dyDescent="0.25">
      <c r="L9" s="29" t="s">
        <v>272</v>
      </c>
      <c r="Q9" s="35">
        <f>M38</f>
        <v>8000</v>
      </c>
      <c r="U9" s="31" t="s">
        <v>412</v>
      </c>
      <c r="AB9" s="48" t="s">
        <v>459</v>
      </c>
      <c r="AC9" s="49">
        <f>SUM(AC6:AC8)</f>
        <v>180000</v>
      </c>
      <c r="AD9" s="49">
        <f>SUM(AD6:AD8)</f>
        <v>1458067</v>
      </c>
      <c r="AE9" s="49">
        <f>SUM(AC9:AD9)</f>
        <v>1638067</v>
      </c>
    </row>
    <row r="10" spans="12:31" x14ac:dyDescent="0.25">
      <c r="L10" s="29" t="s">
        <v>413</v>
      </c>
      <c r="M10" s="35">
        <f>M43</f>
        <v>112125</v>
      </c>
      <c r="U10" s="29" t="s">
        <v>449</v>
      </c>
      <c r="W10" s="35">
        <f>N17</f>
        <v>243950</v>
      </c>
    </row>
    <row r="11" spans="12:31" x14ac:dyDescent="0.25">
      <c r="L11" s="29" t="s">
        <v>414</v>
      </c>
      <c r="M11" s="35">
        <f>M44</f>
        <v>79405</v>
      </c>
      <c r="U11" s="29" t="s">
        <v>4</v>
      </c>
      <c r="W11" s="35">
        <f>O17</f>
        <v>812720</v>
      </c>
    </row>
    <row r="12" spans="12:31" x14ac:dyDescent="0.25">
      <c r="L12" s="29" t="s">
        <v>415</v>
      </c>
      <c r="M12" s="35">
        <f>M45</f>
        <v>69625</v>
      </c>
      <c r="U12" s="29" t="s">
        <v>245</v>
      </c>
      <c r="W12" s="35">
        <f>P17</f>
        <v>145750</v>
      </c>
    </row>
    <row r="13" spans="12:31" x14ac:dyDescent="0.25">
      <c r="L13" s="29" t="s">
        <v>416</v>
      </c>
      <c r="M13" s="35">
        <f>M46</f>
        <v>1426</v>
      </c>
      <c r="U13" s="31" t="s">
        <v>454</v>
      </c>
      <c r="V13" s="31"/>
      <c r="W13" s="46">
        <f>W8-W10-W11-W12</f>
        <v>1222533</v>
      </c>
    </row>
    <row r="14" spans="12:31" x14ac:dyDescent="0.25">
      <c r="L14" s="29" t="s">
        <v>245</v>
      </c>
      <c r="P14" s="29">
        <f>M47</f>
        <v>145750</v>
      </c>
      <c r="U14" s="29" t="s">
        <v>274</v>
      </c>
      <c r="W14" s="35">
        <f>N51</f>
        <v>163000</v>
      </c>
    </row>
    <row r="15" spans="12:31" x14ac:dyDescent="0.25">
      <c r="L15" s="29" t="s">
        <v>5</v>
      </c>
      <c r="N15" s="35">
        <f>M48</f>
        <v>243950</v>
      </c>
      <c r="U15" s="31" t="s">
        <v>455</v>
      </c>
      <c r="V15" s="31"/>
      <c r="W15" s="46">
        <f>W13-W14</f>
        <v>1059533</v>
      </c>
    </row>
    <row r="16" spans="12:31" x14ac:dyDescent="0.25">
      <c r="L16" s="29" t="s">
        <v>4</v>
      </c>
      <c r="O16" s="35">
        <f>M49</f>
        <v>812720</v>
      </c>
    </row>
    <row r="17" spans="1:18" x14ac:dyDescent="0.25">
      <c r="L17" s="31" t="s">
        <v>452</v>
      </c>
      <c r="M17" s="46">
        <f>SUM(M5:M16)</f>
        <v>5125567</v>
      </c>
      <c r="N17" s="42">
        <f>SUM(N5:N16)</f>
        <v>243950</v>
      </c>
      <c r="O17" s="42">
        <f>SUM(O5:O16)</f>
        <v>812720</v>
      </c>
      <c r="P17" s="42">
        <f>SUM(P5:P16)</f>
        <v>145750</v>
      </c>
      <c r="Q17" s="42">
        <f>SUM(Q5:Q16)</f>
        <v>8000</v>
      </c>
    </row>
    <row r="18" spans="1:18" x14ac:dyDescent="0.25">
      <c r="L18" s="31"/>
      <c r="M18" s="31"/>
      <c r="N18" s="31"/>
      <c r="O18" s="31"/>
      <c r="P18" s="31"/>
    </row>
    <row r="23" spans="1:18" x14ac:dyDescent="0.25">
      <c r="F23" s="29" t="s">
        <v>272</v>
      </c>
      <c r="G23" s="30">
        <f>4%*200000</f>
        <v>8000</v>
      </c>
    </row>
    <row r="24" spans="1:18" x14ac:dyDescent="0.25">
      <c r="F24" s="29" t="s">
        <v>419</v>
      </c>
      <c r="G24" s="30">
        <v>4000</v>
      </c>
      <c r="Q24" s="29" t="s">
        <v>429</v>
      </c>
    </row>
    <row r="25" spans="1:18" x14ac:dyDescent="0.25">
      <c r="F25" s="29" t="s">
        <v>420</v>
      </c>
      <c r="G25" s="30">
        <v>4000</v>
      </c>
    </row>
    <row r="26" spans="1:18" x14ac:dyDescent="0.25">
      <c r="G26" s="30"/>
      <c r="Q26" s="31" t="s">
        <v>430</v>
      </c>
    </row>
    <row r="27" spans="1:18" x14ac:dyDescent="0.25">
      <c r="F27" s="29" t="s">
        <v>421</v>
      </c>
      <c r="G27" s="30">
        <v>4000</v>
      </c>
      <c r="L27" s="31"/>
      <c r="Q27" s="29" t="s">
        <v>431</v>
      </c>
      <c r="R27" s="30">
        <f>G81+G85+G92</f>
        <v>2363895</v>
      </c>
    </row>
    <row r="28" spans="1:18" x14ac:dyDescent="0.25">
      <c r="A28" s="31" t="s">
        <v>278</v>
      </c>
      <c r="B28" s="31"/>
      <c r="C28" s="31"/>
      <c r="D28" s="31"/>
      <c r="F28" s="29" t="s">
        <v>422</v>
      </c>
      <c r="G28" s="30"/>
      <c r="H28" s="29">
        <v>4000</v>
      </c>
      <c r="Q28" s="29" t="s">
        <v>432</v>
      </c>
      <c r="R28" s="30">
        <f>B42</f>
        <v>200000</v>
      </c>
    </row>
    <row r="29" spans="1:18" x14ac:dyDescent="0.25">
      <c r="A29" s="31" t="s">
        <v>261</v>
      </c>
      <c r="B29" s="31" t="s">
        <v>265</v>
      </c>
      <c r="C29" s="31" t="s">
        <v>265</v>
      </c>
      <c r="D29" s="31"/>
      <c r="G29" s="30"/>
      <c r="R29" s="30"/>
    </row>
    <row r="30" spans="1:18" x14ac:dyDescent="0.25">
      <c r="A30" s="29" t="s">
        <v>266</v>
      </c>
      <c r="B30" s="30"/>
      <c r="C30" s="30">
        <v>478534</v>
      </c>
      <c r="D30" s="30"/>
      <c r="L30" s="29" t="s">
        <v>267</v>
      </c>
      <c r="N30" s="35">
        <f>C33</f>
        <v>7542520</v>
      </c>
      <c r="Q30" s="31" t="s">
        <v>433</v>
      </c>
      <c r="R30" s="30"/>
    </row>
    <row r="31" spans="1:18" x14ac:dyDescent="0.25">
      <c r="A31" s="29" t="s">
        <v>294</v>
      </c>
      <c r="B31" s="30">
        <v>2242500</v>
      </c>
      <c r="C31" s="30"/>
      <c r="D31" s="30"/>
      <c r="F31" s="29" t="s">
        <v>245</v>
      </c>
      <c r="G31" s="35">
        <f>10%*C39</f>
        <v>145750</v>
      </c>
      <c r="L31" s="29" t="s">
        <v>404</v>
      </c>
      <c r="Q31" s="29" t="s">
        <v>434</v>
      </c>
      <c r="R31" s="30">
        <f>C93</f>
        <v>266924</v>
      </c>
    </row>
    <row r="32" spans="1:18" x14ac:dyDescent="0.25">
      <c r="A32" s="29" t="s">
        <v>295</v>
      </c>
      <c r="B32" s="30">
        <v>864050</v>
      </c>
      <c r="C32" s="30"/>
      <c r="D32" s="30"/>
      <c r="F32" s="29" t="s">
        <v>417</v>
      </c>
      <c r="G32" s="35">
        <f>B45</f>
        <v>10000</v>
      </c>
      <c r="L32" s="29" t="s">
        <v>405</v>
      </c>
      <c r="M32" s="35">
        <f>B43</f>
        <v>284650</v>
      </c>
      <c r="Q32" s="29" t="s">
        <v>139</v>
      </c>
      <c r="R32" s="30">
        <f>G47</f>
        <v>534600</v>
      </c>
    </row>
    <row r="33" spans="1:18" x14ac:dyDescent="0.25">
      <c r="A33" s="29" t="s">
        <v>267</v>
      </c>
      <c r="B33" s="30"/>
      <c r="C33" s="30">
        <v>7542520</v>
      </c>
      <c r="D33" s="30"/>
      <c r="F33" s="29" t="s">
        <v>249</v>
      </c>
      <c r="G33" s="35">
        <f>G31-G32</f>
        <v>135750</v>
      </c>
      <c r="L33" s="29" t="s">
        <v>406</v>
      </c>
      <c r="M33" s="35">
        <f>B34</f>
        <v>4875260</v>
      </c>
      <c r="Q33" s="29" t="s">
        <v>51</v>
      </c>
      <c r="R33" s="30">
        <f>G56</f>
        <v>336648</v>
      </c>
    </row>
    <row r="34" spans="1:18" x14ac:dyDescent="0.25">
      <c r="A34" s="29" t="s">
        <v>122</v>
      </c>
      <c r="B34" s="30">
        <v>4875260</v>
      </c>
      <c r="C34" s="30"/>
      <c r="D34" s="30"/>
      <c r="G34" s="29" t="s">
        <v>119</v>
      </c>
      <c r="H34" s="29" t="s">
        <v>120</v>
      </c>
      <c r="L34" s="29" t="s">
        <v>407</v>
      </c>
      <c r="M34" s="35">
        <f>-C93</f>
        <v>-266924</v>
      </c>
      <c r="N34" s="35">
        <f>SUM(M32:M34)</f>
        <v>4892986</v>
      </c>
      <c r="Q34" s="29" t="s">
        <v>270</v>
      </c>
      <c r="R34" s="30">
        <f>G25</f>
        <v>4000</v>
      </c>
    </row>
    <row r="35" spans="1:18" x14ac:dyDescent="0.25">
      <c r="A35" s="29" t="s">
        <v>268</v>
      </c>
      <c r="B35" s="30">
        <v>345875</v>
      </c>
      <c r="C35" s="30"/>
      <c r="D35" s="30"/>
      <c r="F35" s="29" t="s">
        <v>245</v>
      </c>
      <c r="G35" s="29">
        <v>145750</v>
      </c>
      <c r="L35" s="31" t="s">
        <v>408</v>
      </c>
      <c r="M35" s="31"/>
      <c r="N35" s="46">
        <f>N30-N34</f>
        <v>2649534</v>
      </c>
      <c r="R35" s="30"/>
    </row>
    <row r="36" spans="1:18" x14ac:dyDescent="0.25">
      <c r="A36" s="29" t="s">
        <v>269</v>
      </c>
      <c r="B36" s="30"/>
      <c r="C36" s="30">
        <v>248750</v>
      </c>
      <c r="D36" s="30"/>
      <c r="F36" s="29" t="s">
        <v>418</v>
      </c>
      <c r="H36" s="29">
        <v>10000</v>
      </c>
      <c r="L36" s="31" t="s">
        <v>409</v>
      </c>
      <c r="R36" s="30"/>
    </row>
    <row r="37" spans="1:18" ht="15.75" thickBot="1" x14ac:dyDescent="0.3">
      <c r="A37" s="29" t="s">
        <v>270</v>
      </c>
      <c r="B37" s="30">
        <v>40000</v>
      </c>
      <c r="C37" s="30"/>
      <c r="D37" s="30"/>
      <c r="F37" s="29" t="s">
        <v>249</v>
      </c>
      <c r="H37" s="29">
        <v>135750</v>
      </c>
      <c r="L37" s="29" t="s">
        <v>410</v>
      </c>
      <c r="M37" s="35">
        <f>G87</f>
        <v>30000</v>
      </c>
      <c r="Q37" s="31" t="s">
        <v>435</v>
      </c>
      <c r="R37" s="33">
        <f>SUM(R27:R36)</f>
        <v>3706067</v>
      </c>
    </row>
    <row r="38" spans="1:18" ht="15.75" thickTop="1" x14ac:dyDescent="0.25">
      <c r="A38" s="29" t="s">
        <v>12</v>
      </c>
      <c r="B38" s="30">
        <v>468500</v>
      </c>
      <c r="C38" s="30"/>
      <c r="D38" s="30"/>
      <c r="L38" s="29" t="s">
        <v>272</v>
      </c>
      <c r="M38" s="35">
        <f>G23</f>
        <v>8000</v>
      </c>
      <c r="N38" s="35">
        <f>SUM(M37:M38)</f>
        <v>38000</v>
      </c>
      <c r="R38" s="30"/>
    </row>
    <row r="39" spans="1:18" x14ac:dyDescent="0.25">
      <c r="A39" s="29" t="s">
        <v>271</v>
      </c>
      <c r="B39" s="30"/>
      <c r="C39" s="30">
        <v>1457500</v>
      </c>
      <c r="D39" s="30"/>
      <c r="F39" s="29" t="s">
        <v>392</v>
      </c>
      <c r="G39" s="29">
        <v>320000</v>
      </c>
      <c r="H39" s="29">
        <v>320000</v>
      </c>
      <c r="R39" s="30"/>
    </row>
    <row r="40" spans="1:18" x14ac:dyDescent="0.25">
      <c r="A40" s="29" t="s">
        <v>168</v>
      </c>
      <c r="B40" s="30"/>
      <c r="C40" s="30">
        <v>180000</v>
      </c>
      <c r="D40" s="30"/>
      <c r="F40" s="29" t="s">
        <v>393</v>
      </c>
      <c r="G40" s="29">
        <v>-40000</v>
      </c>
      <c r="H40" s="29">
        <v>40000</v>
      </c>
      <c r="L40" s="31" t="s">
        <v>411</v>
      </c>
      <c r="N40" s="35">
        <f>SUM(N35:N39)</f>
        <v>2687534</v>
      </c>
      <c r="Q40" s="31" t="s">
        <v>436</v>
      </c>
      <c r="R40" s="30"/>
    </row>
    <row r="41" spans="1:18" x14ac:dyDescent="0.25">
      <c r="A41" s="29" t="s">
        <v>272</v>
      </c>
      <c r="B41" s="30"/>
      <c r="C41" s="30">
        <v>4000</v>
      </c>
      <c r="D41" s="30"/>
      <c r="F41" s="29" t="s">
        <v>394</v>
      </c>
      <c r="G41" s="29">
        <f>SUM(G39:G40)</f>
        <v>280000</v>
      </c>
      <c r="H41" s="29">
        <f>SUM(H39:H40)</f>
        <v>360000</v>
      </c>
      <c r="Q41" s="31" t="s">
        <v>437</v>
      </c>
      <c r="R41" s="30"/>
    </row>
    <row r="42" spans="1:18" x14ac:dyDescent="0.25">
      <c r="A42" s="29" t="s">
        <v>273</v>
      </c>
      <c r="B42" s="30">
        <v>200000</v>
      </c>
      <c r="C42" s="30"/>
      <c r="D42" s="30"/>
      <c r="H42" s="29">
        <v>-40000</v>
      </c>
      <c r="L42" s="31" t="s">
        <v>412</v>
      </c>
      <c r="Q42" s="29" t="s">
        <v>438</v>
      </c>
      <c r="R42" s="30">
        <f>C40</f>
        <v>180000</v>
      </c>
    </row>
    <row r="43" spans="1:18" x14ac:dyDescent="0.25">
      <c r="A43" s="29" t="s">
        <v>296</v>
      </c>
      <c r="B43" s="30">
        <v>284650</v>
      </c>
      <c r="C43" s="30"/>
      <c r="D43" s="30"/>
      <c r="H43" s="29">
        <f>SUM(H41:H42)</f>
        <v>320000</v>
      </c>
      <c r="L43" s="29" t="s">
        <v>413</v>
      </c>
      <c r="M43" s="35">
        <f>G86</f>
        <v>112125</v>
      </c>
      <c r="Q43" s="31" t="s">
        <v>439</v>
      </c>
      <c r="R43" s="30"/>
    </row>
    <row r="44" spans="1:18" x14ac:dyDescent="0.25">
      <c r="A44" s="29" t="s">
        <v>274</v>
      </c>
      <c r="B44" s="30">
        <v>163000</v>
      </c>
      <c r="C44" s="30"/>
      <c r="D44" s="30"/>
      <c r="F44" s="29" t="s">
        <v>395</v>
      </c>
      <c r="G44" s="29">
        <v>40000</v>
      </c>
      <c r="L44" s="29" t="s">
        <v>414</v>
      </c>
      <c r="M44" s="35">
        <f>G82</f>
        <v>79405</v>
      </c>
      <c r="Q44" s="29" t="s">
        <v>428</v>
      </c>
      <c r="R44" s="30">
        <f>N56</f>
        <v>1458067</v>
      </c>
    </row>
    <row r="45" spans="1:18" x14ac:dyDescent="0.25">
      <c r="A45" s="29" t="s">
        <v>245</v>
      </c>
      <c r="B45" s="30">
        <v>10000</v>
      </c>
      <c r="C45" s="30"/>
      <c r="D45" s="30"/>
      <c r="F45" s="29" t="s">
        <v>396</v>
      </c>
      <c r="H45" s="29">
        <v>40000</v>
      </c>
      <c r="L45" s="29" t="s">
        <v>415</v>
      </c>
      <c r="M45" s="35">
        <f>G91</f>
        <v>69625</v>
      </c>
      <c r="R45" s="42"/>
    </row>
    <row r="46" spans="1:18" x14ac:dyDescent="0.25">
      <c r="A46" s="29" t="s">
        <v>172</v>
      </c>
      <c r="B46" s="30">
        <v>812720</v>
      </c>
      <c r="C46" s="30"/>
      <c r="D46" s="30"/>
      <c r="F46" s="29" t="s">
        <v>399</v>
      </c>
      <c r="G46" s="35">
        <f>B50-C103</f>
        <v>243950</v>
      </c>
      <c r="L46" s="29" t="s">
        <v>416</v>
      </c>
      <c r="M46" s="35">
        <f>G62</f>
        <v>1426</v>
      </c>
      <c r="Q46" s="31" t="s">
        <v>440</v>
      </c>
      <c r="R46" s="42">
        <f>SUM(R42:R45)</f>
        <v>1638067</v>
      </c>
    </row>
    <row r="47" spans="1:18" x14ac:dyDescent="0.25">
      <c r="A47" s="29" t="s">
        <v>275</v>
      </c>
      <c r="B47" s="30"/>
      <c r="C47" s="30">
        <v>36000</v>
      </c>
      <c r="D47" s="30"/>
      <c r="F47" s="29" t="s">
        <v>139</v>
      </c>
      <c r="G47" s="35">
        <f>B48+B100</f>
        <v>534600</v>
      </c>
      <c r="L47" s="29" t="s">
        <v>245</v>
      </c>
      <c r="M47" s="29">
        <f>G35</f>
        <v>145750</v>
      </c>
      <c r="R47" s="30"/>
    </row>
    <row r="48" spans="1:18" x14ac:dyDescent="0.25">
      <c r="A48" s="29" t="s">
        <v>139</v>
      </c>
      <c r="B48" s="30">
        <v>394600</v>
      </c>
      <c r="C48" s="30"/>
      <c r="D48" s="30"/>
      <c r="F48" s="29" t="s">
        <v>378</v>
      </c>
      <c r="G48" s="29">
        <f>C97</f>
        <v>150000</v>
      </c>
      <c r="L48" s="29" t="s">
        <v>5</v>
      </c>
      <c r="M48" s="35">
        <f>G46</f>
        <v>243950</v>
      </c>
      <c r="Q48" s="31" t="s">
        <v>441</v>
      </c>
      <c r="R48" s="30"/>
    </row>
    <row r="49" spans="1:18" x14ac:dyDescent="0.25">
      <c r="A49" s="29" t="s">
        <v>276</v>
      </c>
      <c r="B49" s="30"/>
      <c r="C49" s="30">
        <v>12601</v>
      </c>
      <c r="D49" s="30"/>
      <c r="L49" s="29" t="s">
        <v>4</v>
      </c>
      <c r="M49" s="35">
        <f>B46</f>
        <v>812720</v>
      </c>
      <c r="N49" s="35">
        <f>SUM(M43:M49)</f>
        <v>1465001</v>
      </c>
      <c r="Q49" s="29" t="s">
        <v>442</v>
      </c>
      <c r="R49" s="30">
        <f>C39</f>
        <v>1457500</v>
      </c>
    </row>
    <row r="50" spans="1:18" x14ac:dyDescent="0.25">
      <c r="A50" s="29" t="s">
        <v>5</v>
      </c>
      <c r="B50" s="30">
        <v>248750</v>
      </c>
      <c r="C50" s="30"/>
      <c r="D50" s="30"/>
      <c r="L50" s="29" t="s">
        <v>423</v>
      </c>
      <c r="N50" s="35">
        <f>N40-N49</f>
        <v>1222533</v>
      </c>
      <c r="R50" s="30"/>
    </row>
    <row r="51" spans="1:18" x14ac:dyDescent="0.25">
      <c r="A51" s="29" t="s">
        <v>277</v>
      </c>
      <c r="B51" s="30"/>
      <c r="C51" s="30"/>
      <c r="D51" s="30"/>
      <c r="F51" s="29" t="s">
        <v>391</v>
      </c>
      <c r="G51" s="35">
        <v>345875</v>
      </c>
      <c r="L51" s="29" t="s">
        <v>274</v>
      </c>
      <c r="N51" s="35">
        <f>B44</f>
        <v>163000</v>
      </c>
      <c r="Q51" s="31" t="s">
        <v>443</v>
      </c>
      <c r="R51" s="30"/>
    </row>
    <row r="52" spans="1:18" x14ac:dyDescent="0.25">
      <c r="A52" s="29" t="s">
        <v>264</v>
      </c>
      <c r="B52" s="30"/>
      <c r="C52" s="30">
        <v>580000</v>
      </c>
      <c r="D52" s="30"/>
      <c r="F52" s="29" t="s">
        <v>398</v>
      </c>
      <c r="G52" s="29">
        <f>80%*6000</f>
        <v>4800</v>
      </c>
      <c r="L52" s="29" t="s">
        <v>426</v>
      </c>
      <c r="M52" s="31"/>
      <c r="N52" s="46">
        <f>N50-N51</f>
        <v>1059533</v>
      </c>
      <c r="Q52" s="29" t="s">
        <v>444</v>
      </c>
      <c r="R52" s="30">
        <f>C36</f>
        <v>248750</v>
      </c>
    </row>
    <row r="53" spans="1:18" x14ac:dyDescent="0.25">
      <c r="A53" s="29" t="s">
        <v>138</v>
      </c>
      <c r="B53" s="30"/>
      <c r="C53" s="30">
        <v>220000</v>
      </c>
      <c r="D53" s="30"/>
      <c r="F53" s="29" t="s">
        <v>397</v>
      </c>
      <c r="G53" s="35">
        <f>SUM(G51:G52)</f>
        <v>350675</v>
      </c>
      <c r="L53" s="29" t="s">
        <v>425</v>
      </c>
      <c r="N53" s="29">
        <v>40000</v>
      </c>
      <c r="Q53" s="29" t="s">
        <v>462</v>
      </c>
      <c r="R53" s="30">
        <f>C47</f>
        <v>36000</v>
      </c>
    </row>
    <row r="54" spans="1:18" x14ac:dyDescent="0.25">
      <c r="A54" s="29" t="s">
        <v>260</v>
      </c>
      <c r="B54" s="30"/>
      <c r="C54" s="30">
        <v>190000</v>
      </c>
      <c r="D54" s="30"/>
      <c r="F54" s="29" t="s">
        <v>400</v>
      </c>
      <c r="G54" s="35">
        <f>4%*G53</f>
        <v>14027</v>
      </c>
      <c r="L54" s="31" t="s">
        <v>424</v>
      </c>
      <c r="M54" s="31"/>
      <c r="N54" s="46">
        <f>N52-N53</f>
        <v>1019533</v>
      </c>
      <c r="Q54" s="29" t="s">
        <v>249</v>
      </c>
      <c r="R54" s="30">
        <f>G33</f>
        <v>135750</v>
      </c>
    </row>
    <row r="55" spans="1:18" ht="15.75" thickBot="1" x14ac:dyDescent="0.3">
      <c r="A55" s="31"/>
      <c r="B55" s="33">
        <f>SUM(B30:B54)</f>
        <v>10949905</v>
      </c>
      <c r="C55" s="33">
        <f>SUM(C30:C54)</f>
        <v>10949905</v>
      </c>
      <c r="D55" s="43"/>
      <c r="L55" s="29" t="s">
        <v>427</v>
      </c>
      <c r="N55" s="29">
        <f>478534-40000</f>
        <v>438534</v>
      </c>
      <c r="Q55" s="29" t="s">
        <v>445</v>
      </c>
      <c r="R55" s="30">
        <v>40000</v>
      </c>
    </row>
    <row r="56" spans="1:18" ht="15.75" thickTop="1" x14ac:dyDescent="0.25">
      <c r="F56" s="31" t="s">
        <v>403</v>
      </c>
      <c r="G56" s="46">
        <f>G53-G54</f>
        <v>336648</v>
      </c>
      <c r="L56" s="29" t="s">
        <v>428</v>
      </c>
      <c r="N56" s="35">
        <f>N54+N55</f>
        <v>1458067</v>
      </c>
      <c r="Q56" s="29" t="s">
        <v>378</v>
      </c>
      <c r="R56" s="30">
        <f>150000</f>
        <v>150000</v>
      </c>
    </row>
    <row r="57" spans="1:18" x14ac:dyDescent="0.25">
      <c r="A57" s="31" t="s">
        <v>279</v>
      </c>
      <c r="Q57" s="29" t="s">
        <v>446</v>
      </c>
      <c r="R57" s="30">
        <f>SUM(R49:R56)</f>
        <v>2068000</v>
      </c>
    </row>
    <row r="58" spans="1:18" ht="15.75" thickBot="1" x14ac:dyDescent="0.3">
      <c r="A58" s="29" t="s">
        <v>284</v>
      </c>
      <c r="Q58" s="31" t="s">
        <v>447</v>
      </c>
      <c r="R58" s="33">
        <f>SUM(R57,R46)</f>
        <v>3706067</v>
      </c>
    </row>
    <row r="59" spans="1:18" ht="15.75" thickTop="1" x14ac:dyDescent="0.25">
      <c r="A59" s="29" t="s">
        <v>303</v>
      </c>
      <c r="F59" s="29" t="str">
        <f>F54</f>
        <v>provision for credit loss 4%</v>
      </c>
      <c r="G59" s="29">
        <f>G54</f>
        <v>14027</v>
      </c>
      <c r="R59" s="30"/>
    </row>
    <row r="60" spans="1:18" x14ac:dyDescent="0.25">
      <c r="A60" s="29" t="s">
        <v>297</v>
      </c>
      <c r="F60" s="29" t="s">
        <v>401</v>
      </c>
      <c r="G60" s="35">
        <f>C49</f>
        <v>12601</v>
      </c>
      <c r="Q60" s="29" t="s">
        <v>448</v>
      </c>
      <c r="R60" s="30">
        <f>R58-R37</f>
        <v>0</v>
      </c>
    </row>
    <row r="61" spans="1:18" x14ac:dyDescent="0.25">
      <c r="A61" s="29" t="s">
        <v>285</v>
      </c>
    </row>
    <row r="62" spans="1:18" x14ac:dyDescent="0.25">
      <c r="A62" s="29" t="s">
        <v>286</v>
      </c>
      <c r="F62" s="31" t="s">
        <v>402</v>
      </c>
      <c r="G62" s="46">
        <f>G54-G60</f>
        <v>1426</v>
      </c>
    </row>
    <row r="63" spans="1:18" x14ac:dyDescent="0.25">
      <c r="A63" s="29" t="s">
        <v>298</v>
      </c>
    </row>
    <row r="64" spans="1:18" x14ac:dyDescent="0.25">
      <c r="A64" s="29" t="s">
        <v>299</v>
      </c>
    </row>
    <row r="65" spans="1:7" x14ac:dyDescent="0.25">
      <c r="A65" s="31" t="s">
        <v>287</v>
      </c>
    </row>
    <row r="66" spans="1:7" x14ac:dyDescent="0.25">
      <c r="A66" s="34" t="s">
        <v>264</v>
      </c>
      <c r="B66" s="29" t="s">
        <v>280</v>
      </c>
      <c r="F66" s="31" t="s">
        <v>381</v>
      </c>
    </row>
    <row r="67" spans="1:7" x14ac:dyDescent="0.25">
      <c r="A67" s="34" t="s">
        <v>138</v>
      </c>
      <c r="B67" s="32" t="s">
        <v>288</v>
      </c>
      <c r="F67" s="29" t="s">
        <v>339</v>
      </c>
      <c r="G67" s="30">
        <f>B32</f>
        <v>864050</v>
      </c>
    </row>
    <row r="68" spans="1:7" x14ac:dyDescent="0.25">
      <c r="A68" s="34" t="s">
        <v>289</v>
      </c>
      <c r="B68" s="32" t="s">
        <v>290</v>
      </c>
      <c r="F68" s="29" t="s">
        <v>382</v>
      </c>
      <c r="G68" s="30">
        <f>C53</f>
        <v>220000</v>
      </c>
    </row>
    <row r="69" spans="1:7" x14ac:dyDescent="0.25">
      <c r="F69" s="29" t="s">
        <v>383</v>
      </c>
      <c r="G69" s="30">
        <f>G67-G68</f>
        <v>644050</v>
      </c>
    </row>
    <row r="70" spans="1:7" x14ac:dyDescent="0.25">
      <c r="A70" s="29" t="s">
        <v>304</v>
      </c>
      <c r="G70" s="30"/>
    </row>
    <row r="71" spans="1:7" x14ac:dyDescent="0.25">
      <c r="A71" s="29" t="s">
        <v>291</v>
      </c>
      <c r="F71" s="29" t="s">
        <v>384</v>
      </c>
      <c r="G71" s="30">
        <f>10%*G69</f>
        <v>64405</v>
      </c>
    </row>
    <row r="72" spans="1:7" x14ac:dyDescent="0.25">
      <c r="A72" s="29" t="s">
        <v>300</v>
      </c>
      <c r="F72" s="29" t="s">
        <v>385</v>
      </c>
      <c r="G72" s="30">
        <f>G69-G71</f>
        <v>579645</v>
      </c>
    </row>
    <row r="73" spans="1:7" x14ac:dyDescent="0.25">
      <c r="A73" s="29" t="s">
        <v>281</v>
      </c>
      <c r="B73" s="29" t="s">
        <v>301</v>
      </c>
      <c r="G73" s="30"/>
    </row>
    <row r="74" spans="1:7" x14ac:dyDescent="0.25">
      <c r="A74" s="29" t="s">
        <v>302</v>
      </c>
      <c r="G74" s="30"/>
    </row>
    <row r="75" spans="1:7" x14ac:dyDescent="0.25">
      <c r="A75" s="29" t="s">
        <v>292</v>
      </c>
      <c r="F75" s="31" t="s">
        <v>386</v>
      </c>
      <c r="G75" s="30"/>
    </row>
    <row r="76" spans="1:7" x14ac:dyDescent="0.25">
      <c r="F76" s="29" t="s">
        <v>339</v>
      </c>
      <c r="G76" s="30">
        <f>150000</f>
        <v>150000</v>
      </c>
    </row>
    <row r="77" spans="1:7" x14ac:dyDescent="0.25">
      <c r="A77" s="29" t="s">
        <v>293</v>
      </c>
      <c r="F77" s="29" t="s">
        <v>384</v>
      </c>
      <c r="G77" s="30">
        <f>10%*G76</f>
        <v>15000</v>
      </c>
    </row>
    <row r="78" spans="1:7" x14ac:dyDescent="0.25">
      <c r="A78" s="31" t="s">
        <v>239</v>
      </c>
      <c r="F78" s="29" t="s">
        <v>387</v>
      </c>
      <c r="G78" s="30">
        <f>G76-G77</f>
        <v>135000</v>
      </c>
    </row>
    <row r="79" spans="1:7" x14ac:dyDescent="0.25">
      <c r="A79" s="29" t="s">
        <v>282</v>
      </c>
      <c r="E79" s="29" t="s">
        <v>85</v>
      </c>
    </row>
    <row r="80" spans="1:7" x14ac:dyDescent="0.25">
      <c r="A80" s="29" t="s">
        <v>283</v>
      </c>
      <c r="E80" s="29" t="s">
        <v>85</v>
      </c>
    </row>
    <row r="81" spans="1:15" x14ac:dyDescent="0.25">
      <c r="F81" s="31" t="s">
        <v>388</v>
      </c>
      <c r="G81" s="46">
        <f>G72+G78</f>
        <v>714645</v>
      </c>
    </row>
    <row r="82" spans="1:15" x14ac:dyDescent="0.25">
      <c r="F82" s="31" t="s">
        <v>384</v>
      </c>
      <c r="G82" s="46">
        <f>G71+G77</f>
        <v>79405</v>
      </c>
    </row>
    <row r="83" spans="1:15" x14ac:dyDescent="0.25">
      <c r="A83" s="29" t="s">
        <v>337</v>
      </c>
      <c r="C83" s="30">
        <v>268460</v>
      </c>
      <c r="D83" s="30"/>
    </row>
    <row r="84" spans="1:15" x14ac:dyDescent="0.25">
      <c r="A84" s="29" t="s">
        <v>338</v>
      </c>
      <c r="C84" s="30">
        <v>3200</v>
      </c>
      <c r="D84" s="30"/>
      <c r="F84" s="29" t="s">
        <v>264</v>
      </c>
    </row>
    <row r="85" spans="1:15" x14ac:dyDescent="0.25">
      <c r="C85" s="30">
        <f>C83-C84</f>
        <v>265260</v>
      </c>
      <c r="D85" s="30"/>
      <c r="F85" s="29" t="s">
        <v>389</v>
      </c>
      <c r="G85" s="35">
        <f>O103</f>
        <v>1440375</v>
      </c>
    </row>
    <row r="86" spans="1:15" x14ac:dyDescent="0.25">
      <c r="F86" s="29" t="s">
        <v>384</v>
      </c>
      <c r="G86" s="35">
        <f>H112</f>
        <v>112125</v>
      </c>
    </row>
    <row r="87" spans="1:15" x14ac:dyDescent="0.25">
      <c r="A87" s="29" t="s">
        <v>342</v>
      </c>
      <c r="F87" s="29" t="s">
        <v>380</v>
      </c>
      <c r="G87" s="35">
        <f>F125</f>
        <v>30000</v>
      </c>
    </row>
    <row r="88" spans="1:15" x14ac:dyDescent="0.25">
      <c r="A88" s="29" t="s">
        <v>339</v>
      </c>
      <c r="C88" s="29">
        <v>3200</v>
      </c>
    </row>
    <row r="89" spans="1:15" x14ac:dyDescent="0.25">
      <c r="A89" s="29" t="s">
        <v>343</v>
      </c>
      <c r="C89" s="29">
        <f>20%*C88</f>
        <v>640</v>
      </c>
      <c r="F89" s="29" t="s">
        <v>260</v>
      </c>
    </row>
    <row r="90" spans="1:15" x14ac:dyDescent="0.25">
      <c r="A90" s="29" t="s">
        <v>341</v>
      </c>
      <c r="C90" s="29">
        <f>C88+C89</f>
        <v>3840</v>
      </c>
      <c r="F90" s="29" t="s">
        <v>379</v>
      </c>
      <c r="G90" s="35">
        <f>B38-C54</f>
        <v>278500</v>
      </c>
    </row>
    <row r="91" spans="1:15" x14ac:dyDescent="0.25">
      <c r="A91" s="29" t="s">
        <v>344</v>
      </c>
      <c r="C91" s="29">
        <f>40%*C90</f>
        <v>1536</v>
      </c>
      <c r="F91" s="29" t="s">
        <v>384</v>
      </c>
      <c r="G91" s="35">
        <f>25%*G90</f>
        <v>69625</v>
      </c>
      <c r="L91" s="29" t="s">
        <v>369</v>
      </c>
      <c r="O91" s="29">
        <v>200000</v>
      </c>
    </row>
    <row r="92" spans="1:15" x14ac:dyDescent="0.25">
      <c r="F92" s="29" t="s">
        <v>390</v>
      </c>
      <c r="G92" s="35">
        <f>G90-G91</f>
        <v>208875</v>
      </c>
      <c r="L92" s="29" t="s">
        <v>370</v>
      </c>
      <c r="O92" s="29">
        <f>5%*200000*9</f>
        <v>90000</v>
      </c>
    </row>
    <row r="93" spans="1:15" x14ac:dyDescent="0.25">
      <c r="A93" s="29" t="s">
        <v>345</v>
      </c>
      <c r="C93" s="35">
        <f>C83-C91</f>
        <v>266924</v>
      </c>
      <c r="D93" s="35"/>
      <c r="L93" s="29" t="s">
        <v>371</v>
      </c>
      <c r="O93" s="29">
        <f>O91-O92</f>
        <v>110000</v>
      </c>
    </row>
    <row r="95" spans="1:15" x14ac:dyDescent="0.25">
      <c r="B95" s="29" t="s">
        <v>119</v>
      </c>
      <c r="C95" s="35" t="s">
        <v>120</v>
      </c>
      <c r="D95" s="35"/>
      <c r="E95" s="29" t="s">
        <v>376</v>
      </c>
      <c r="L95" s="29" t="s">
        <v>373</v>
      </c>
    </row>
    <row r="96" spans="1:15" x14ac:dyDescent="0.25">
      <c r="A96" s="29" t="s">
        <v>138</v>
      </c>
      <c r="B96" s="29">
        <v>150000</v>
      </c>
      <c r="C96" s="35"/>
      <c r="D96" s="35"/>
      <c r="E96" s="29" t="s">
        <v>377</v>
      </c>
      <c r="M96" s="35">
        <f>B31-C52</f>
        <v>1662500</v>
      </c>
    </row>
    <row r="97" spans="1:15" x14ac:dyDescent="0.25">
      <c r="A97" s="29" t="s">
        <v>378</v>
      </c>
      <c r="C97" s="29">
        <v>150000</v>
      </c>
    </row>
    <row r="98" spans="1:15" x14ac:dyDescent="0.25">
      <c r="A98" s="29" t="s">
        <v>360</v>
      </c>
      <c r="B98" s="29">
        <v>102125</v>
      </c>
    </row>
    <row r="99" spans="1:15" x14ac:dyDescent="0.25">
      <c r="A99" s="29" t="s">
        <v>361</v>
      </c>
      <c r="C99" s="29">
        <v>102125</v>
      </c>
      <c r="E99" s="36"/>
      <c r="F99" s="36" t="s">
        <v>351</v>
      </c>
      <c r="G99" s="36"/>
      <c r="H99" s="36"/>
      <c r="I99" s="30"/>
      <c r="J99" s="30"/>
      <c r="K99" s="30"/>
      <c r="L99" s="36"/>
      <c r="M99" s="36" t="s">
        <v>353</v>
      </c>
      <c r="N99" s="36"/>
      <c r="O99" s="36"/>
    </row>
    <row r="100" spans="1:15" x14ac:dyDescent="0.25">
      <c r="A100" s="29" t="s">
        <v>355</v>
      </c>
      <c r="B100" s="29">
        <v>140000</v>
      </c>
      <c r="E100" s="37" t="s">
        <v>354</v>
      </c>
      <c r="F100" s="38">
        <v>2242500</v>
      </c>
      <c r="G100" s="30" t="s">
        <v>356</v>
      </c>
      <c r="H100" s="30"/>
      <c r="I100" s="30"/>
      <c r="J100" s="30"/>
      <c r="K100" s="30"/>
      <c r="L100" s="37" t="s">
        <v>354</v>
      </c>
      <c r="M100" s="38">
        <f>B31-C52</f>
        <v>1662500</v>
      </c>
      <c r="N100" s="30" t="s">
        <v>357</v>
      </c>
      <c r="O100" s="30">
        <v>110000</v>
      </c>
    </row>
    <row r="101" spans="1:15" x14ac:dyDescent="0.25">
      <c r="A101" s="29" t="s">
        <v>364</v>
      </c>
      <c r="C101" s="29">
        <v>140000</v>
      </c>
      <c r="E101" s="39" t="s">
        <v>355</v>
      </c>
      <c r="F101" s="40">
        <v>0</v>
      </c>
      <c r="G101" s="30" t="s">
        <v>357</v>
      </c>
      <c r="H101" s="30">
        <v>200000</v>
      </c>
      <c r="I101" s="30"/>
      <c r="J101" s="30"/>
      <c r="K101" s="30"/>
      <c r="L101" s="39"/>
      <c r="M101" s="40"/>
      <c r="N101" s="30" t="s">
        <v>368</v>
      </c>
      <c r="O101" s="30">
        <f>5%*(2242500)</f>
        <v>112125</v>
      </c>
    </row>
    <row r="102" spans="1:15" x14ac:dyDescent="0.25">
      <c r="A102" s="29" t="s">
        <v>51</v>
      </c>
      <c r="B102" s="29">
        <v>4800</v>
      </c>
      <c r="E102" s="39" t="s">
        <v>356</v>
      </c>
      <c r="F102" s="40"/>
      <c r="G102" s="30"/>
      <c r="H102" s="30"/>
      <c r="I102" s="30"/>
      <c r="J102" s="30"/>
      <c r="K102" s="30"/>
      <c r="L102" s="39"/>
      <c r="M102" s="40"/>
      <c r="N102" s="30"/>
      <c r="O102" s="30"/>
    </row>
    <row r="103" spans="1:15" x14ac:dyDescent="0.25">
      <c r="A103" s="29" t="s">
        <v>399</v>
      </c>
      <c r="C103" s="29">
        <v>4800</v>
      </c>
      <c r="E103" s="39"/>
      <c r="F103" s="40"/>
      <c r="G103" s="30" t="s">
        <v>358</v>
      </c>
      <c r="H103" s="30">
        <v>2042500</v>
      </c>
      <c r="I103" s="30"/>
      <c r="J103" s="30"/>
      <c r="K103" s="30"/>
      <c r="L103" s="39"/>
      <c r="M103" s="40"/>
      <c r="N103" s="30" t="s">
        <v>358</v>
      </c>
      <c r="O103" s="30">
        <v>1440375</v>
      </c>
    </row>
    <row r="104" spans="1:15" x14ac:dyDescent="0.25">
      <c r="E104" s="39"/>
      <c r="F104" s="40"/>
      <c r="G104" s="30"/>
      <c r="H104" s="30"/>
      <c r="I104" s="30"/>
      <c r="J104" s="30"/>
      <c r="K104" s="30"/>
      <c r="L104" s="39"/>
      <c r="M104" s="40"/>
      <c r="N104" s="30"/>
      <c r="O104" s="30"/>
    </row>
    <row r="105" spans="1:15" x14ac:dyDescent="0.25">
      <c r="E105" s="39"/>
      <c r="F105" s="40"/>
      <c r="G105" s="30"/>
      <c r="H105" s="30"/>
      <c r="I105" s="30"/>
      <c r="J105" s="30"/>
      <c r="K105" s="30"/>
      <c r="L105" s="39"/>
      <c r="M105" s="40">
        <f>SUM(M100:M104)</f>
        <v>1662500</v>
      </c>
      <c r="N105" s="30"/>
      <c r="O105" s="30">
        <f>SUM(O100:O104)</f>
        <v>1662500</v>
      </c>
    </row>
    <row r="106" spans="1:15" x14ac:dyDescent="0.25">
      <c r="E106" s="39"/>
      <c r="F106" s="41">
        <f>SUM(F100:F105)</f>
        <v>2242500</v>
      </c>
      <c r="G106" s="42"/>
      <c r="H106" s="42">
        <f>SUM(H100:H105)</f>
        <v>2242500</v>
      </c>
      <c r="I106" s="30"/>
      <c r="J106" s="30"/>
      <c r="K106" s="30"/>
      <c r="L106" s="39"/>
      <c r="M106" s="40"/>
      <c r="N106" s="30"/>
      <c r="O106" s="30"/>
    </row>
    <row r="107" spans="1:15" x14ac:dyDescent="0.25"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</row>
    <row r="108" spans="1:15" x14ac:dyDescent="0.25"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</row>
    <row r="109" spans="1:15" x14ac:dyDescent="0.25"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</row>
    <row r="110" spans="1:15" x14ac:dyDescent="0.25">
      <c r="E110" s="36"/>
      <c r="F110" s="36" t="s">
        <v>350</v>
      </c>
      <c r="G110" s="36"/>
      <c r="H110" s="36"/>
      <c r="I110" s="30"/>
      <c r="J110" s="30"/>
      <c r="K110" s="30"/>
      <c r="L110" s="36"/>
      <c r="M110" s="36" t="s">
        <v>350</v>
      </c>
      <c r="N110" s="36"/>
      <c r="O110" s="36"/>
    </row>
    <row r="111" spans="1:15" x14ac:dyDescent="0.25">
      <c r="B111" s="29">
        <f>SUM(B96:B110)</f>
        <v>396925</v>
      </c>
      <c r="C111" s="29">
        <f>SUM(C96:C110)</f>
        <v>396925</v>
      </c>
      <c r="E111" s="37" t="s">
        <v>357</v>
      </c>
      <c r="F111" s="38">
        <f>(5%*200000)*9</f>
        <v>90000</v>
      </c>
      <c r="G111" s="30" t="s">
        <v>354</v>
      </c>
      <c r="H111" s="30">
        <v>580000</v>
      </c>
      <c r="I111" s="30"/>
      <c r="J111" s="30"/>
      <c r="K111" s="30"/>
      <c r="L111" s="37"/>
      <c r="M111" s="38"/>
      <c r="N111" s="30"/>
      <c r="O111" s="30"/>
    </row>
    <row r="112" spans="1:15" x14ac:dyDescent="0.25">
      <c r="E112" s="39"/>
      <c r="F112" s="40"/>
      <c r="G112" s="30" t="s">
        <v>366</v>
      </c>
      <c r="H112" s="30">
        <f>5%*(2242500)</f>
        <v>112125</v>
      </c>
      <c r="I112" s="30"/>
      <c r="J112" s="30"/>
      <c r="K112" s="30"/>
      <c r="L112" s="39"/>
      <c r="M112" s="40"/>
      <c r="N112" s="30"/>
      <c r="O112" s="30"/>
    </row>
    <row r="113" spans="1:15" x14ac:dyDescent="0.25">
      <c r="A113" s="29" t="s">
        <v>362</v>
      </c>
      <c r="B113" s="29">
        <f>B111-C111</f>
        <v>0</v>
      </c>
      <c r="E113" s="39"/>
      <c r="F113" s="40"/>
      <c r="G113" s="30"/>
      <c r="H113" s="30"/>
      <c r="I113" s="30"/>
      <c r="J113" s="30"/>
      <c r="K113" s="30"/>
      <c r="L113" s="39"/>
      <c r="M113" s="40"/>
      <c r="N113" s="30"/>
      <c r="O113" s="30"/>
    </row>
    <row r="114" spans="1:15" x14ac:dyDescent="0.25">
      <c r="E114" s="39" t="s">
        <v>358</v>
      </c>
      <c r="F114" s="40">
        <v>602125</v>
      </c>
      <c r="G114" s="30"/>
      <c r="H114" s="30"/>
      <c r="I114" s="30"/>
      <c r="J114" s="30"/>
      <c r="K114" s="30"/>
      <c r="L114" s="39"/>
      <c r="M114" s="40"/>
      <c r="N114" s="30"/>
      <c r="O114" s="30"/>
    </row>
    <row r="115" spans="1:15" x14ac:dyDescent="0.25">
      <c r="E115" s="39"/>
      <c r="F115" s="40">
        <f>SUM(F111:F114)</f>
        <v>692125</v>
      </c>
      <c r="G115" s="30"/>
      <c r="H115" s="30">
        <f>SUM(H111:H114)</f>
        <v>692125</v>
      </c>
      <c r="I115" s="30"/>
      <c r="J115" s="30"/>
      <c r="K115" s="30"/>
      <c r="L115" s="39"/>
      <c r="M115" s="40"/>
      <c r="N115" s="30"/>
      <c r="O115" s="30"/>
    </row>
    <row r="116" spans="1:15" x14ac:dyDescent="0.25">
      <c r="E116" s="39"/>
      <c r="F116" s="40"/>
      <c r="G116" s="30"/>
      <c r="H116" s="30"/>
      <c r="I116" s="30"/>
      <c r="J116" s="30"/>
      <c r="K116" s="30"/>
      <c r="L116" s="39"/>
      <c r="M116" s="40"/>
      <c r="N116" s="30"/>
      <c r="O116" s="30"/>
    </row>
    <row r="117" spans="1:15" x14ac:dyDescent="0.25">
      <c r="E117" s="39"/>
      <c r="F117" s="40"/>
      <c r="G117" s="30"/>
      <c r="H117" s="30"/>
      <c r="I117" s="30"/>
      <c r="J117" s="30"/>
      <c r="K117" s="30"/>
      <c r="L117" s="39"/>
      <c r="M117" s="40"/>
      <c r="N117" s="30"/>
      <c r="O117" s="30"/>
    </row>
    <row r="118" spans="1:15" x14ac:dyDescent="0.25"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</row>
    <row r="119" spans="1:15" x14ac:dyDescent="0.25"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</row>
    <row r="120" spans="1:15" x14ac:dyDescent="0.25"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</row>
    <row r="121" spans="1:15" x14ac:dyDescent="0.25">
      <c r="E121" s="36"/>
      <c r="F121" s="36" t="s">
        <v>352</v>
      </c>
      <c r="G121" s="36"/>
      <c r="H121" s="36"/>
      <c r="I121" s="30"/>
      <c r="J121" s="30"/>
      <c r="K121" s="30"/>
      <c r="L121" s="36"/>
      <c r="M121" s="36" t="s">
        <v>374</v>
      </c>
      <c r="N121" s="36"/>
      <c r="O121" s="36"/>
    </row>
    <row r="122" spans="1:15" x14ac:dyDescent="0.25">
      <c r="E122" s="37" t="s">
        <v>359</v>
      </c>
      <c r="F122" s="38">
        <v>200000</v>
      </c>
      <c r="G122" s="30" t="s">
        <v>363</v>
      </c>
      <c r="H122" s="30">
        <v>90000</v>
      </c>
      <c r="I122" s="30"/>
      <c r="J122" s="30"/>
      <c r="K122" s="30"/>
      <c r="L122" s="37" t="s">
        <v>264</v>
      </c>
      <c r="M122" s="38">
        <f>O100</f>
        <v>110000</v>
      </c>
      <c r="N122" s="30" t="s">
        <v>375</v>
      </c>
      <c r="O122" s="30">
        <v>140000</v>
      </c>
    </row>
    <row r="123" spans="1:15" x14ac:dyDescent="0.25">
      <c r="E123" s="39"/>
      <c r="F123" s="40"/>
      <c r="G123" s="30" t="s">
        <v>365</v>
      </c>
      <c r="H123" s="30">
        <v>140000</v>
      </c>
      <c r="I123" s="30"/>
      <c r="J123" s="30"/>
      <c r="K123" s="30"/>
      <c r="L123" s="39"/>
      <c r="M123" s="40"/>
      <c r="N123" s="30"/>
      <c r="O123" s="30"/>
    </row>
    <row r="124" spans="1:15" x14ac:dyDescent="0.25">
      <c r="E124" s="39"/>
      <c r="F124" s="40"/>
      <c r="G124" s="30"/>
      <c r="H124" s="30"/>
      <c r="I124" s="30"/>
      <c r="J124" s="30"/>
      <c r="K124" s="30"/>
      <c r="L124" s="45" t="s">
        <v>367</v>
      </c>
      <c r="M124" s="44">
        <v>30000</v>
      </c>
      <c r="N124" s="30"/>
      <c r="O124" s="30"/>
    </row>
    <row r="125" spans="1:15" x14ac:dyDescent="0.25">
      <c r="E125" s="39" t="s">
        <v>367</v>
      </c>
      <c r="F125" s="44">
        <v>30000</v>
      </c>
      <c r="G125" s="30"/>
      <c r="H125" s="30"/>
      <c r="I125" s="30"/>
      <c r="J125" s="30"/>
      <c r="K125" s="30"/>
      <c r="L125" s="39"/>
      <c r="M125" s="40">
        <f>SUM(M122:M124)</f>
        <v>140000</v>
      </c>
      <c r="N125" s="30"/>
      <c r="O125" s="30">
        <f>SUM(O122:O124)</f>
        <v>140000</v>
      </c>
    </row>
    <row r="126" spans="1:15" x14ac:dyDescent="0.25">
      <c r="E126" s="39"/>
      <c r="F126" s="40"/>
      <c r="G126" s="30"/>
      <c r="H126" s="30"/>
      <c r="I126" s="30"/>
      <c r="J126" s="30"/>
      <c r="K126" s="30"/>
      <c r="L126" s="39"/>
      <c r="M126" s="40"/>
      <c r="N126" s="30"/>
      <c r="O126" s="30"/>
    </row>
    <row r="127" spans="1:15" x14ac:dyDescent="0.25">
      <c r="E127" s="39"/>
      <c r="F127" s="40"/>
      <c r="G127" s="30"/>
      <c r="H127" s="30"/>
      <c r="I127" s="30"/>
      <c r="J127" s="30"/>
      <c r="K127" s="30"/>
      <c r="L127" s="39"/>
      <c r="M127" s="40"/>
      <c r="N127" s="30"/>
      <c r="O127" s="30"/>
    </row>
    <row r="128" spans="1:15" x14ac:dyDescent="0.25">
      <c r="E128" s="39"/>
      <c r="F128" s="41">
        <f>SUM(F122:F127)</f>
        <v>230000</v>
      </c>
      <c r="G128" s="42"/>
      <c r="H128" s="42">
        <f>SUM(H122:H127)</f>
        <v>230000</v>
      </c>
      <c r="I128" s="30"/>
      <c r="J128" s="30"/>
      <c r="K128" s="30"/>
      <c r="L128" s="39"/>
      <c r="M128" s="40"/>
      <c r="N128" s="30"/>
      <c r="O128" s="30"/>
    </row>
    <row r="129" spans="5:15" x14ac:dyDescent="0.2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</row>
    <row r="131" spans="5:15" x14ac:dyDescent="0.25">
      <c r="E131" s="29" t="s">
        <v>372</v>
      </c>
      <c r="G131" s="35">
        <f>H103-F114</f>
        <v>1440375</v>
      </c>
      <c r="J131" s="29" t="s">
        <v>372</v>
      </c>
      <c r="M131" s="35">
        <f>O103</f>
        <v>1440375</v>
      </c>
    </row>
    <row r="133" spans="5:15" x14ac:dyDescent="0.25">
      <c r="G133" s="29">
        <v>1430375</v>
      </c>
      <c r="M133" s="29">
        <v>1430375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B50E-FE6F-4EDA-8A17-AB1EABCF746D}">
  <dimension ref="A1:A56"/>
  <sheetViews>
    <sheetView tabSelected="1" topLeftCell="A40" zoomScaleNormal="100" workbookViewId="0">
      <selection activeCell="A67" sqref="A67"/>
    </sheetView>
  </sheetViews>
  <sheetFormatPr defaultRowHeight="15.75" x14ac:dyDescent="0.25"/>
  <cols>
    <col min="1" max="1" width="116.5703125" style="15" customWidth="1"/>
    <col min="2" max="16384" width="9.140625" style="15"/>
  </cols>
  <sheetData>
    <row r="1" spans="1:1" x14ac:dyDescent="0.25">
      <c r="A1" s="14" t="s">
        <v>207</v>
      </c>
    </row>
    <row r="3" spans="1:1" x14ac:dyDescent="0.25">
      <c r="A3" s="16" t="s">
        <v>208</v>
      </c>
    </row>
    <row r="4" spans="1:1" x14ac:dyDescent="0.25">
      <c r="A4" s="16"/>
    </row>
    <row r="5" spans="1:1" x14ac:dyDescent="0.25">
      <c r="A5" s="16" t="s">
        <v>209</v>
      </c>
    </row>
    <row r="6" spans="1:1" x14ac:dyDescent="0.25">
      <c r="A6" s="15" t="s">
        <v>210</v>
      </c>
    </row>
    <row r="8" spans="1:1" x14ac:dyDescent="0.25">
      <c r="A8" s="15" t="s">
        <v>211</v>
      </c>
    </row>
    <row r="10" spans="1:1" x14ac:dyDescent="0.25">
      <c r="A10" s="15" t="s">
        <v>212</v>
      </c>
    </row>
    <row r="11" spans="1:1" x14ac:dyDescent="0.25">
      <c r="A11" s="15" t="s">
        <v>213</v>
      </c>
    </row>
    <row r="12" spans="1:1" x14ac:dyDescent="0.25">
      <c r="A12" s="15" t="s">
        <v>214</v>
      </c>
    </row>
    <row r="13" spans="1:1" x14ac:dyDescent="0.25">
      <c r="A13" s="15" t="s">
        <v>215</v>
      </c>
    </row>
    <row r="14" spans="1:1" x14ac:dyDescent="0.25">
      <c r="A14" s="15" t="s">
        <v>216</v>
      </c>
    </row>
    <row r="15" spans="1:1" x14ac:dyDescent="0.25">
      <c r="A15" s="15" t="s">
        <v>217</v>
      </c>
    </row>
    <row r="17" spans="1:1" x14ac:dyDescent="0.25">
      <c r="A17" s="15" t="s">
        <v>218</v>
      </c>
    </row>
    <row r="18" spans="1:1" x14ac:dyDescent="0.25">
      <c r="A18" s="15" t="s">
        <v>219</v>
      </c>
    </row>
    <row r="19" spans="1:1" x14ac:dyDescent="0.25">
      <c r="A19" s="15" t="s">
        <v>215</v>
      </c>
    </row>
    <row r="20" spans="1:1" x14ac:dyDescent="0.25">
      <c r="A20" s="15" t="s">
        <v>220</v>
      </c>
    </row>
    <row r="21" spans="1:1" x14ac:dyDescent="0.25">
      <c r="A21" s="15" t="s">
        <v>221</v>
      </c>
    </row>
    <row r="23" spans="1:1" x14ac:dyDescent="0.25">
      <c r="A23" s="15" t="s">
        <v>222</v>
      </c>
    </row>
    <row r="24" spans="1:1" x14ac:dyDescent="0.25">
      <c r="A24" s="15" t="s">
        <v>223</v>
      </c>
    </row>
    <row r="25" spans="1:1" x14ac:dyDescent="0.25">
      <c r="A25" s="15" t="s">
        <v>224</v>
      </c>
    </row>
    <row r="27" spans="1:1" x14ac:dyDescent="0.25">
      <c r="A27" s="15" t="s">
        <v>225</v>
      </c>
    </row>
    <row r="28" spans="1:1" x14ac:dyDescent="0.25">
      <c r="A28" s="15" t="s">
        <v>226</v>
      </c>
    </row>
    <row r="29" spans="1:1" x14ac:dyDescent="0.25">
      <c r="A29" s="15" t="s">
        <v>227</v>
      </c>
    </row>
    <row r="30" spans="1:1" x14ac:dyDescent="0.25">
      <c r="A30" s="15" t="s">
        <v>215</v>
      </c>
    </row>
    <row r="31" spans="1:1" x14ac:dyDescent="0.25">
      <c r="A31" s="15" t="s">
        <v>228</v>
      </c>
    </row>
    <row r="32" spans="1:1" x14ac:dyDescent="0.25">
      <c r="A32" s="15" t="s">
        <v>241</v>
      </c>
    </row>
    <row r="33" spans="1:1" x14ac:dyDescent="0.25">
      <c r="A33" s="15" t="s">
        <v>242</v>
      </c>
    </row>
    <row r="34" spans="1:1" x14ac:dyDescent="0.25">
      <c r="A34" s="15" t="s">
        <v>243</v>
      </c>
    </row>
    <row r="36" spans="1:1" x14ac:dyDescent="0.25">
      <c r="A36" s="15" t="s">
        <v>229</v>
      </c>
    </row>
    <row r="38" spans="1:1" x14ac:dyDescent="0.25">
      <c r="A38" s="15" t="s">
        <v>230</v>
      </c>
    </row>
    <row r="40" spans="1:1" x14ac:dyDescent="0.25">
      <c r="A40" s="15" t="s">
        <v>231</v>
      </c>
    </row>
    <row r="41" spans="1:1" x14ac:dyDescent="0.25">
      <c r="A41" s="15" t="s">
        <v>232</v>
      </c>
    </row>
    <row r="42" spans="1:1" x14ac:dyDescent="0.25">
      <c r="A42" s="15" t="s">
        <v>233</v>
      </c>
    </row>
    <row r="45" spans="1:1" x14ac:dyDescent="0.25">
      <c r="A45" s="15" t="s">
        <v>234</v>
      </c>
    </row>
    <row r="47" spans="1:1" x14ac:dyDescent="0.25">
      <c r="A47" s="15" t="s">
        <v>235</v>
      </c>
    </row>
    <row r="48" spans="1:1" x14ac:dyDescent="0.25">
      <c r="A48" s="15" t="s">
        <v>236</v>
      </c>
    </row>
    <row r="50" spans="1:1" x14ac:dyDescent="0.25">
      <c r="A50" s="15" t="s">
        <v>237</v>
      </c>
    </row>
    <row r="51" spans="1:1" x14ac:dyDescent="0.25">
      <c r="A51" s="15" t="s">
        <v>238</v>
      </c>
    </row>
    <row r="53" spans="1:1" x14ac:dyDescent="0.25">
      <c r="A53" s="17" t="s">
        <v>239</v>
      </c>
    </row>
    <row r="54" spans="1:1" x14ac:dyDescent="0.25">
      <c r="A54" s="15" t="s">
        <v>240</v>
      </c>
    </row>
    <row r="55" spans="1:1" x14ac:dyDescent="0.25">
      <c r="A55" s="15" t="s">
        <v>262</v>
      </c>
    </row>
    <row r="56" spans="1:1" x14ac:dyDescent="0.25">
      <c r="A56" s="15" t="s">
        <v>263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EA536-8EE8-4972-840F-C75F1A0DF0FA}">
  <dimension ref="A1"/>
  <sheetViews>
    <sheetView topLeftCell="A4" workbookViewId="0">
      <selection activeCell="M34" sqref="M1:DO1048576"/>
    </sheetView>
  </sheetViews>
  <sheetFormatPr defaultRowHeight="15" x14ac:dyDescent="0.25"/>
  <cols>
    <col min="6" max="6" width="10.85546875" customWidth="1"/>
    <col min="10" max="10" width="11.5703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A1A3B-C4D3-4BA4-B0FD-FBA9640589AA}">
  <dimension ref="A1:B38"/>
  <sheetViews>
    <sheetView workbookViewId="0">
      <selection activeCell="A40" sqref="A40"/>
    </sheetView>
  </sheetViews>
  <sheetFormatPr defaultRowHeight="15.75" x14ac:dyDescent="0.25"/>
  <cols>
    <col min="1" max="1" width="36.5703125" style="15" customWidth="1"/>
    <col min="2" max="2" width="12.7109375" style="15" bestFit="1" customWidth="1"/>
    <col min="3" max="7" width="9.140625" style="15"/>
    <col min="8" max="8" width="18.85546875" style="15" bestFit="1" customWidth="1"/>
    <col min="9" max="9" width="15.5703125" style="15" customWidth="1"/>
    <col min="10" max="16384" width="9.140625" style="15"/>
  </cols>
  <sheetData>
    <row r="1" spans="1:1" x14ac:dyDescent="0.25">
      <c r="A1" s="15" t="s">
        <v>96</v>
      </c>
    </row>
    <row r="2" spans="1:1" x14ac:dyDescent="0.25">
      <c r="A2" s="15" t="s">
        <v>244</v>
      </c>
    </row>
    <row r="3" spans="1:1" x14ac:dyDescent="0.25">
      <c r="A3" s="15" t="s">
        <v>305</v>
      </c>
    </row>
    <row r="4" spans="1:1" x14ac:dyDescent="0.25">
      <c r="A4" s="16" t="s">
        <v>306</v>
      </c>
    </row>
    <row r="5" spans="1:1" x14ac:dyDescent="0.25">
      <c r="A5" s="15" t="s">
        <v>307</v>
      </c>
    </row>
    <row r="6" spans="1:1" x14ac:dyDescent="0.25">
      <c r="A6" s="15" t="s">
        <v>308</v>
      </c>
    </row>
    <row r="7" spans="1:1" x14ac:dyDescent="0.25">
      <c r="A7" s="15" t="s">
        <v>310</v>
      </c>
    </row>
    <row r="8" spans="1:1" x14ac:dyDescent="0.25">
      <c r="A8" s="15" t="s">
        <v>309</v>
      </c>
    </row>
    <row r="9" spans="1:1" x14ac:dyDescent="0.25">
      <c r="A9" s="15" t="s">
        <v>311</v>
      </c>
    </row>
    <row r="10" spans="1:1" x14ac:dyDescent="0.25">
      <c r="A10" s="15" t="s">
        <v>312</v>
      </c>
    </row>
    <row r="11" spans="1:1" x14ac:dyDescent="0.25">
      <c r="A11" s="15" t="s">
        <v>98</v>
      </c>
    </row>
    <row r="12" spans="1:1" x14ac:dyDescent="0.25">
      <c r="A12" s="15" t="s">
        <v>97</v>
      </c>
    </row>
    <row r="13" spans="1:1" x14ac:dyDescent="0.25">
      <c r="A13" s="15" t="s">
        <v>313</v>
      </c>
    </row>
    <row r="14" spans="1:1" x14ac:dyDescent="0.25">
      <c r="A14" s="15" t="s">
        <v>314</v>
      </c>
    </row>
    <row r="15" spans="1:1" x14ac:dyDescent="0.25">
      <c r="A15" s="15" t="s">
        <v>315</v>
      </c>
    </row>
    <row r="16" spans="1:1" x14ac:dyDescent="0.25">
      <c r="A16" s="15" t="s">
        <v>316</v>
      </c>
    </row>
    <row r="17" spans="1:2" x14ac:dyDescent="0.25">
      <c r="A17" s="15" t="s">
        <v>317</v>
      </c>
    </row>
    <row r="18" spans="1:2" x14ac:dyDescent="0.25">
      <c r="A18" s="15" t="s">
        <v>318</v>
      </c>
    </row>
    <row r="19" spans="1:2" x14ac:dyDescent="0.25">
      <c r="A19" s="15" t="s">
        <v>99</v>
      </c>
    </row>
    <row r="20" spans="1:2" x14ac:dyDescent="0.25">
      <c r="A20" s="15" t="s">
        <v>100</v>
      </c>
    </row>
    <row r="21" spans="1:2" x14ac:dyDescent="0.25">
      <c r="A21" s="15" t="s">
        <v>101</v>
      </c>
    </row>
    <row r="23" spans="1:2" x14ac:dyDescent="0.25">
      <c r="A23" s="16" t="s">
        <v>102</v>
      </c>
      <c r="B23" s="16" t="s">
        <v>248</v>
      </c>
    </row>
    <row r="24" spans="1:2" x14ac:dyDescent="0.25">
      <c r="A24" s="15" t="s">
        <v>103</v>
      </c>
      <c r="B24" s="1">
        <v>3600000</v>
      </c>
    </row>
    <row r="25" spans="1:2" x14ac:dyDescent="0.25">
      <c r="A25" s="15" t="s">
        <v>104</v>
      </c>
      <c r="B25" s="1">
        <v>8000000</v>
      </c>
    </row>
    <row r="26" spans="1:2" x14ac:dyDescent="0.25">
      <c r="A26" s="15" t="s">
        <v>105</v>
      </c>
      <c r="B26" s="1">
        <v>11000000</v>
      </c>
    </row>
    <row r="27" spans="1:2" x14ac:dyDescent="0.25">
      <c r="A27" s="15" t="s">
        <v>106</v>
      </c>
      <c r="B27" s="1">
        <v>4200000</v>
      </c>
    </row>
    <row r="28" spans="1:2" x14ac:dyDescent="0.25">
      <c r="A28" s="15" t="s">
        <v>107</v>
      </c>
      <c r="B28" s="1">
        <v>2800000</v>
      </c>
    </row>
    <row r="29" spans="1:2" x14ac:dyDescent="0.25">
      <c r="A29" s="15" t="s">
        <v>108</v>
      </c>
      <c r="B29" s="1">
        <v>2100000</v>
      </c>
    </row>
    <row r="30" spans="1:2" x14ac:dyDescent="0.25">
      <c r="A30" s="15" t="s">
        <v>109</v>
      </c>
      <c r="B30" s="1">
        <v>850000</v>
      </c>
    </row>
    <row r="31" spans="1:2" x14ac:dyDescent="0.25">
      <c r="A31" s="15" t="s">
        <v>110</v>
      </c>
      <c r="B31" s="1">
        <v>2200000</v>
      </c>
    </row>
    <row r="32" spans="1:2" x14ac:dyDescent="0.25">
      <c r="A32" s="15" t="s">
        <v>111</v>
      </c>
      <c r="B32" s="1">
        <v>2500000</v>
      </c>
    </row>
    <row r="33" spans="1:1" x14ac:dyDescent="0.25">
      <c r="A33" s="15" t="s">
        <v>112</v>
      </c>
    </row>
    <row r="34" spans="1:1" x14ac:dyDescent="0.25">
      <c r="A34" s="15" t="s">
        <v>319</v>
      </c>
    </row>
    <row r="35" spans="1:1" x14ac:dyDescent="0.25">
      <c r="A35" s="15" t="s">
        <v>320</v>
      </c>
    </row>
    <row r="36" spans="1:1" x14ac:dyDescent="0.25">
      <c r="A36" s="16" t="s">
        <v>27</v>
      </c>
    </row>
    <row r="37" spans="1:1" x14ac:dyDescent="0.25">
      <c r="A37" s="16" t="s">
        <v>113</v>
      </c>
    </row>
    <row r="38" spans="1:1" x14ac:dyDescent="0.25">
      <c r="A38" s="16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FC45D-3563-4239-AB85-A8EBB7DE2F83}">
  <dimension ref="A1"/>
  <sheetViews>
    <sheetView workbookViewId="0">
      <selection activeCell="N1" sqref="N1:DF1048576"/>
    </sheetView>
  </sheetViews>
  <sheetFormatPr defaultRowHeight="15" x14ac:dyDescent="0.25"/>
  <cols>
    <col min="1" max="16384" width="9.140625" style="24"/>
  </cols>
  <sheetData/>
  <phoneticPr fontId="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5FEF9-76A5-4C1D-B54D-FA6ED8E0DD20}">
  <dimension ref="A3:D78"/>
  <sheetViews>
    <sheetView zoomScale="85" zoomScaleNormal="85" workbookViewId="0">
      <selection activeCell="A17" sqref="A17"/>
    </sheetView>
  </sheetViews>
  <sheetFormatPr defaultRowHeight="15.75" x14ac:dyDescent="0.25"/>
  <cols>
    <col min="1" max="1" width="81.85546875" style="15" customWidth="1"/>
    <col min="2" max="2" width="21" style="1" customWidth="1"/>
    <col min="3" max="3" width="22.42578125" style="1" customWidth="1"/>
    <col min="4" max="4" width="3.7109375" style="20" customWidth="1"/>
    <col min="5" max="16384" width="9.140625" style="15"/>
  </cols>
  <sheetData>
    <row r="3" spans="1:3" x14ac:dyDescent="0.25">
      <c r="A3" s="15" t="s">
        <v>250</v>
      </c>
    </row>
    <row r="5" spans="1:3" x14ac:dyDescent="0.25">
      <c r="A5" s="15" t="s">
        <v>0</v>
      </c>
      <c r="B5" s="1" t="s">
        <v>1</v>
      </c>
      <c r="C5" s="1" t="s">
        <v>45</v>
      </c>
    </row>
    <row r="6" spans="1:3" x14ac:dyDescent="0.25">
      <c r="A6" s="15" t="s">
        <v>2</v>
      </c>
      <c r="C6" s="1">
        <v>1153800</v>
      </c>
    </row>
    <row r="7" spans="1:3" x14ac:dyDescent="0.25">
      <c r="A7" s="15" t="s">
        <v>3</v>
      </c>
      <c r="B7" s="1">
        <v>678900</v>
      </c>
    </row>
    <row r="8" spans="1:3" x14ac:dyDescent="0.25">
      <c r="A8" s="15" t="s">
        <v>4</v>
      </c>
      <c r="B8" s="1">
        <v>95700</v>
      </c>
    </row>
    <row r="9" spans="1:3" x14ac:dyDescent="0.25">
      <c r="A9" s="15" t="s">
        <v>5</v>
      </c>
      <c r="B9" s="1">
        <v>118400</v>
      </c>
    </row>
    <row r="10" spans="1:3" x14ac:dyDescent="0.25">
      <c r="A10" s="15" t="s">
        <v>259</v>
      </c>
      <c r="B10" s="1">
        <v>117500</v>
      </c>
    </row>
    <row r="12" spans="1:3" x14ac:dyDescent="0.25">
      <c r="A12" s="15" t="s">
        <v>51</v>
      </c>
      <c r="B12" s="1">
        <v>155600</v>
      </c>
    </row>
    <row r="13" spans="1:3" x14ac:dyDescent="0.25">
      <c r="A13" s="15" t="s">
        <v>50</v>
      </c>
      <c r="C13" s="1">
        <v>87200</v>
      </c>
    </row>
    <row r="14" spans="1:3" x14ac:dyDescent="0.25">
      <c r="A14" s="15" t="s">
        <v>6</v>
      </c>
      <c r="B14" s="1">
        <v>29800</v>
      </c>
    </row>
    <row r="15" spans="1:3" x14ac:dyDescent="0.25">
      <c r="A15" s="15" t="s">
        <v>7</v>
      </c>
      <c r="B15" s="1" t="s">
        <v>0</v>
      </c>
      <c r="C15" s="1">
        <v>60000</v>
      </c>
    </row>
    <row r="16" spans="1:3" x14ac:dyDescent="0.25">
      <c r="A16" s="15" t="s">
        <v>8</v>
      </c>
      <c r="B16" s="1" t="s">
        <v>0</v>
      </c>
      <c r="C16" s="1">
        <v>5000</v>
      </c>
    </row>
    <row r="17" spans="1:3" x14ac:dyDescent="0.25">
      <c r="A17" s="15" t="s">
        <v>9</v>
      </c>
      <c r="B17" s="1" t="s">
        <v>0</v>
      </c>
      <c r="C17" s="1">
        <v>44300</v>
      </c>
    </row>
    <row r="18" spans="1:3" x14ac:dyDescent="0.25">
      <c r="A18" s="15" t="s">
        <v>10</v>
      </c>
      <c r="B18" s="1">
        <f>45000+220000</f>
        <v>265000</v>
      </c>
    </row>
    <row r="19" spans="1:3" x14ac:dyDescent="0.25">
      <c r="A19" s="15" t="s">
        <v>11</v>
      </c>
      <c r="B19" s="1">
        <v>102000</v>
      </c>
    </row>
    <row r="20" spans="1:3" x14ac:dyDescent="0.25">
      <c r="A20" s="15" t="s">
        <v>12</v>
      </c>
      <c r="B20" s="1">
        <v>28000</v>
      </c>
    </row>
    <row r="21" spans="1:3" x14ac:dyDescent="0.25">
      <c r="A21" s="15" t="s">
        <v>13</v>
      </c>
      <c r="B21" s="1">
        <v>12000</v>
      </c>
    </row>
    <row r="22" spans="1:3" x14ac:dyDescent="0.25">
      <c r="A22" s="15" t="s">
        <v>14</v>
      </c>
    </row>
    <row r="23" spans="1:3" x14ac:dyDescent="0.25">
      <c r="A23" s="15" t="s">
        <v>46</v>
      </c>
      <c r="B23" s="1" t="s">
        <v>0</v>
      </c>
      <c r="C23" s="1">
        <f>4000+75000</f>
        <v>79000</v>
      </c>
    </row>
    <row r="24" spans="1:3" x14ac:dyDescent="0.25">
      <c r="A24" s="15" t="s">
        <v>47</v>
      </c>
      <c r="B24" s="1" t="s">
        <v>0</v>
      </c>
      <c r="C24" s="1">
        <f>9050+29600</f>
        <v>38650</v>
      </c>
    </row>
    <row r="25" spans="1:3" x14ac:dyDescent="0.25">
      <c r="A25" s="15" t="s">
        <v>48</v>
      </c>
      <c r="B25" s="1" t="s">
        <v>0</v>
      </c>
      <c r="C25" s="1">
        <f>3360+11200</f>
        <v>14560</v>
      </c>
    </row>
    <row r="26" spans="1:3" x14ac:dyDescent="0.25">
      <c r="A26" s="15" t="s">
        <v>49</v>
      </c>
      <c r="B26" s="1" t="s">
        <v>0</v>
      </c>
      <c r="C26" s="1">
        <f>720+4800</f>
        <v>5520</v>
      </c>
    </row>
    <row r="27" spans="1:3" x14ac:dyDescent="0.25">
      <c r="A27" s="15" t="s">
        <v>15</v>
      </c>
      <c r="B27" s="1" t="s">
        <v>0</v>
      </c>
      <c r="C27" s="1">
        <v>16600</v>
      </c>
    </row>
    <row r="28" spans="1:3" x14ac:dyDescent="0.25">
      <c r="A28" s="15" t="s">
        <v>16</v>
      </c>
      <c r="B28" s="1">
        <v>2800</v>
      </c>
    </row>
    <row r="29" spans="1:3" x14ac:dyDescent="0.25">
      <c r="A29" s="15" t="s">
        <v>17</v>
      </c>
      <c r="B29" s="1">
        <f>1100+7800</f>
        <v>8900</v>
      </c>
    </row>
    <row r="30" spans="1:3" x14ac:dyDescent="0.25">
      <c r="A30" s="15" t="s">
        <v>18</v>
      </c>
      <c r="B30" s="1">
        <v>0</v>
      </c>
      <c r="C30" s="1">
        <v>87500</v>
      </c>
    </row>
    <row r="31" spans="1:3" x14ac:dyDescent="0.25">
      <c r="A31" s="15" t="s">
        <v>258</v>
      </c>
      <c r="B31" s="1">
        <f>2625+5250</f>
        <v>7875</v>
      </c>
    </row>
    <row r="32" spans="1:3" x14ac:dyDescent="0.25">
      <c r="A32" s="15" t="s">
        <v>19</v>
      </c>
      <c r="B32" s="1">
        <v>1250</v>
      </c>
    </row>
    <row r="33" spans="1:3" x14ac:dyDescent="0.25">
      <c r="A33" s="15" t="s">
        <v>251</v>
      </c>
      <c r="C33" s="1">
        <v>20000</v>
      </c>
    </row>
    <row r="34" spans="1:3" x14ac:dyDescent="0.25">
      <c r="A34" s="15" t="s">
        <v>252</v>
      </c>
      <c r="C34" s="1">
        <v>25000</v>
      </c>
    </row>
    <row r="35" spans="1:3" x14ac:dyDescent="0.25">
      <c r="A35" s="15" t="s">
        <v>253</v>
      </c>
      <c r="B35" s="1">
        <v>4000</v>
      </c>
    </row>
    <row r="36" spans="1:3" x14ac:dyDescent="0.25">
      <c r="A36" s="15" t="s">
        <v>254</v>
      </c>
      <c r="B36" s="23">
        <f>12.5%*(B19-29600)</f>
        <v>9050</v>
      </c>
    </row>
    <row r="37" spans="1:3" x14ac:dyDescent="0.25">
      <c r="A37" s="15" t="s">
        <v>255</v>
      </c>
      <c r="B37" s="1">
        <f>20%*(B20-11200)</f>
        <v>3360</v>
      </c>
    </row>
    <row r="38" spans="1:3" x14ac:dyDescent="0.25">
      <c r="A38" s="15" t="s">
        <v>256</v>
      </c>
      <c r="B38" s="1">
        <f>10%*(B21-4800)</f>
        <v>720</v>
      </c>
    </row>
    <row r="39" spans="1:3" x14ac:dyDescent="0.25">
      <c r="A39" s="15" t="s">
        <v>249</v>
      </c>
      <c r="B39" s="15"/>
      <c r="C39" s="1">
        <v>2625</v>
      </c>
    </row>
    <row r="40" spans="1:3" x14ac:dyDescent="0.25">
      <c r="A40" s="15" t="s">
        <v>257</v>
      </c>
      <c r="C40" s="1">
        <v>1100</v>
      </c>
    </row>
    <row r="46" spans="1:3" x14ac:dyDescent="0.25">
      <c r="B46" s="1">
        <f>SUM(B6:B45)</f>
        <v>1640855</v>
      </c>
      <c r="C46" s="1">
        <f>SUM(C6:C45)</f>
        <v>1640855</v>
      </c>
    </row>
    <row r="47" spans="1:3" x14ac:dyDescent="0.25">
      <c r="B47" s="1">
        <f>B46-C46</f>
        <v>0</v>
      </c>
    </row>
    <row r="51" spans="1:4" x14ac:dyDescent="0.25">
      <c r="A51" s="15" t="s">
        <v>20</v>
      </c>
    </row>
    <row r="52" spans="1:4" x14ac:dyDescent="0.25">
      <c r="A52" s="15" t="s">
        <v>35</v>
      </c>
    </row>
    <row r="53" spans="1:4" x14ac:dyDescent="0.25">
      <c r="A53" s="15" t="s">
        <v>31</v>
      </c>
    </row>
    <row r="54" spans="1:4" x14ac:dyDescent="0.25">
      <c r="A54" s="15" t="s">
        <v>0</v>
      </c>
    </row>
    <row r="55" spans="1:4" x14ac:dyDescent="0.25">
      <c r="A55" s="15" t="s">
        <v>33</v>
      </c>
    </row>
    <row r="56" spans="1:4" x14ac:dyDescent="0.25">
      <c r="A56" s="15" t="s">
        <v>34</v>
      </c>
    </row>
    <row r="57" spans="1:4" x14ac:dyDescent="0.25">
      <c r="A57" s="15" t="s">
        <v>32</v>
      </c>
    </row>
    <row r="58" spans="1:4" x14ac:dyDescent="0.25">
      <c r="A58" s="15" t="s">
        <v>36</v>
      </c>
    </row>
    <row r="59" spans="1:4" x14ac:dyDescent="0.25">
      <c r="B59" s="19" t="s">
        <v>21</v>
      </c>
      <c r="C59" s="19" t="s">
        <v>22</v>
      </c>
      <c r="D59" s="21"/>
    </row>
    <row r="60" spans="1:4" x14ac:dyDescent="0.25">
      <c r="B60" s="1" t="s">
        <v>23</v>
      </c>
      <c r="C60" s="22">
        <v>0.125</v>
      </c>
    </row>
    <row r="61" spans="1:4" x14ac:dyDescent="0.25">
      <c r="B61" s="1" t="s">
        <v>24</v>
      </c>
      <c r="C61" s="22">
        <v>0.2</v>
      </c>
    </row>
    <row r="62" spans="1:4" x14ac:dyDescent="0.25">
      <c r="B62" s="1" t="s">
        <v>25</v>
      </c>
      <c r="C62" s="22">
        <v>0.1</v>
      </c>
    </row>
    <row r="63" spans="1:4" x14ac:dyDescent="0.25">
      <c r="A63" s="15" t="s">
        <v>37</v>
      </c>
    </row>
    <row r="64" spans="1:4" x14ac:dyDescent="0.25">
      <c r="A64" s="15" t="s">
        <v>38</v>
      </c>
    </row>
    <row r="65" spans="1:3" x14ac:dyDescent="0.25">
      <c r="A65" s="15" t="s">
        <v>40</v>
      </c>
    </row>
    <row r="66" spans="1:3" x14ac:dyDescent="0.25">
      <c r="A66" s="15" t="s">
        <v>41</v>
      </c>
    </row>
    <row r="67" spans="1:3" x14ac:dyDescent="0.25">
      <c r="A67" s="15" t="s">
        <v>39</v>
      </c>
    </row>
    <row r="69" spans="1:3" x14ac:dyDescent="0.25">
      <c r="A69" s="15" t="s">
        <v>26</v>
      </c>
    </row>
    <row r="70" spans="1:3" x14ac:dyDescent="0.25">
      <c r="A70" s="15" t="s">
        <v>43</v>
      </c>
    </row>
    <row r="71" spans="1:3" x14ac:dyDescent="0.25">
      <c r="A71" s="15" t="s">
        <v>44</v>
      </c>
    </row>
    <row r="72" spans="1:3" x14ac:dyDescent="0.25">
      <c r="A72" s="15" t="s">
        <v>42</v>
      </c>
    </row>
    <row r="73" spans="1:3" x14ac:dyDescent="0.25">
      <c r="A73" s="15" t="s">
        <v>27</v>
      </c>
    </row>
    <row r="74" spans="1:3" x14ac:dyDescent="0.25">
      <c r="A74" s="15" t="s">
        <v>28</v>
      </c>
    </row>
    <row r="75" spans="1:3" x14ac:dyDescent="0.25">
      <c r="A75" s="15" t="s">
        <v>0</v>
      </c>
    </row>
    <row r="76" spans="1:3" x14ac:dyDescent="0.25">
      <c r="A76" s="15" t="s">
        <v>29</v>
      </c>
      <c r="B76" s="1" t="s">
        <v>0</v>
      </c>
      <c r="C76" s="1" t="s">
        <v>0</v>
      </c>
    </row>
    <row r="77" spans="1:3" x14ac:dyDescent="0.25">
      <c r="A77" s="15" t="s">
        <v>0</v>
      </c>
    </row>
    <row r="78" spans="1:3" x14ac:dyDescent="0.25">
      <c r="A78" s="15" t="s">
        <v>30</v>
      </c>
      <c r="B78" s="1" t="s">
        <v>0</v>
      </c>
      <c r="C78" s="1" t="s">
        <v>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2E699-B560-4041-9CFA-9E796430B48D}">
  <dimension ref="A1:F51"/>
  <sheetViews>
    <sheetView topLeftCell="A37" workbookViewId="0">
      <selection activeCell="B34" sqref="B34:C34"/>
    </sheetView>
  </sheetViews>
  <sheetFormatPr defaultRowHeight="15.75" x14ac:dyDescent="0.25"/>
  <cols>
    <col min="1" max="1" width="45.140625" style="1" customWidth="1"/>
    <col min="2" max="2" width="20.7109375" style="1" customWidth="1"/>
    <col min="3" max="3" width="14.42578125" style="1" customWidth="1"/>
    <col min="4" max="4" width="10.5703125" style="1" bestFit="1" customWidth="1"/>
    <col min="5" max="16384" width="9.140625" style="1"/>
  </cols>
  <sheetData>
    <row r="1" spans="1:3" x14ac:dyDescent="0.25">
      <c r="A1" s="1" t="s">
        <v>78</v>
      </c>
    </row>
    <row r="2" spans="1:3" x14ac:dyDescent="0.25">
      <c r="B2" s="1" t="s">
        <v>87</v>
      </c>
      <c r="C2" s="1" t="s">
        <v>87</v>
      </c>
    </row>
    <row r="3" spans="1:3" x14ac:dyDescent="0.25">
      <c r="A3" s="1" t="s">
        <v>52</v>
      </c>
      <c r="C3" s="1">
        <v>78000</v>
      </c>
    </row>
    <row r="4" spans="1:3" x14ac:dyDescent="0.25">
      <c r="A4" s="1" t="s">
        <v>53</v>
      </c>
      <c r="C4" s="1">
        <v>13000</v>
      </c>
    </row>
    <row r="5" spans="1:3" x14ac:dyDescent="0.25">
      <c r="A5" s="1" t="s">
        <v>54</v>
      </c>
      <c r="C5" s="1">
        <v>10400</v>
      </c>
    </row>
    <row r="6" spans="1:3" x14ac:dyDescent="0.25">
      <c r="A6" s="1" t="s">
        <v>55</v>
      </c>
      <c r="C6" s="1">
        <v>13000</v>
      </c>
    </row>
    <row r="7" spans="1:3" x14ac:dyDescent="0.25">
      <c r="A7" s="1" t="s">
        <v>56</v>
      </c>
      <c r="C7" s="1">
        <v>19240</v>
      </c>
    </row>
    <row r="8" spans="1:3" x14ac:dyDescent="0.25">
      <c r="A8" s="1" t="s">
        <v>57</v>
      </c>
      <c r="B8" s="1">
        <v>42900</v>
      </c>
    </row>
    <row r="9" spans="1:3" x14ac:dyDescent="0.25">
      <c r="A9" s="1" t="s">
        <v>58</v>
      </c>
      <c r="C9" s="1">
        <v>724000</v>
      </c>
    </row>
    <row r="10" spans="1:3" x14ac:dyDescent="0.25">
      <c r="A10" s="1" t="s">
        <v>59</v>
      </c>
      <c r="B10" s="1">
        <v>548600</v>
      </c>
    </row>
    <row r="11" spans="1:3" x14ac:dyDescent="0.25">
      <c r="A11" s="1" t="s">
        <v>60</v>
      </c>
      <c r="B11" s="1">
        <v>650</v>
      </c>
    </row>
    <row r="12" spans="1:3" x14ac:dyDescent="0.25">
      <c r="A12" s="1" t="s">
        <v>61</v>
      </c>
      <c r="C12" s="1">
        <v>1690</v>
      </c>
    </row>
    <row r="13" spans="1:3" x14ac:dyDescent="0.25">
      <c r="A13" s="1" t="s">
        <v>63</v>
      </c>
      <c r="B13" s="1">
        <v>165000</v>
      </c>
    </row>
    <row r="14" spans="1:3" x14ac:dyDescent="0.25">
      <c r="A14" s="1" t="s">
        <v>64</v>
      </c>
      <c r="B14" s="1">
        <v>83200</v>
      </c>
    </row>
    <row r="15" spans="1:3" x14ac:dyDescent="0.25">
      <c r="A15" s="1" t="s">
        <v>66</v>
      </c>
      <c r="C15" s="1" t="s">
        <v>65</v>
      </c>
    </row>
    <row r="16" spans="1:3" x14ac:dyDescent="0.25">
      <c r="A16" s="1" t="s">
        <v>67</v>
      </c>
      <c r="C16" s="1">
        <f>6500</f>
        <v>6500</v>
      </c>
    </row>
    <row r="17" spans="1:3" x14ac:dyDescent="0.25">
      <c r="A17" s="1" t="s">
        <v>68</v>
      </c>
      <c r="C17" s="1">
        <f>33280</f>
        <v>33280</v>
      </c>
    </row>
    <row r="18" spans="1:3" x14ac:dyDescent="0.25">
      <c r="A18" s="1" t="s">
        <v>69</v>
      </c>
      <c r="B18" s="1">
        <v>54600</v>
      </c>
    </row>
    <row r="19" spans="1:3" x14ac:dyDescent="0.25">
      <c r="A19" s="1" t="s">
        <v>70</v>
      </c>
      <c r="C19" s="1">
        <v>10400</v>
      </c>
    </row>
    <row r="20" spans="1:3" x14ac:dyDescent="0.25">
      <c r="A20" s="1" t="s">
        <v>71</v>
      </c>
      <c r="B20" s="1">
        <v>16900</v>
      </c>
    </row>
    <row r="21" spans="1:3" x14ac:dyDescent="0.25">
      <c r="A21" s="1" t="s">
        <v>72</v>
      </c>
      <c r="B21" s="1">
        <v>21710</v>
      </c>
    </row>
    <row r="22" spans="1:3" x14ac:dyDescent="0.25">
      <c r="A22" s="1" t="s">
        <v>73</v>
      </c>
      <c r="B22" s="1">
        <f>520</f>
        <v>520</v>
      </c>
    </row>
    <row r="23" spans="1:3" x14ac:dyDescent="0.25">
      <c r="A23" s="1" t="s">
        <v>74</v>
      </c>
      <c r="C23" s="1">
        <f>2340</f>
        <v>2340</v>
      </c>
    </row>
    <row r="24" spans="1:3" x14ac:dyDescent="0.25">
      <c r="A24" s="1" t="s">
        <v>5</v>
      </c>
      <c r="B24" s="1">
        <f>7280</f>
        <v>7280</v>
      </c>
      <c r="C24" s="1">
        <v>0</v>
      </c>
    </row>
    <row r="25" spans="1:3" x14ac:dyDescent="0.25">
      <c r="A25" s="1" t="s">
        <v>75</v>
      </c>
      <c r="C25" s="1">
        <v>47060</v>
      </c>
    </row>
    <row r="26" spans="1:3" x14ac:dyDescent="0.25">
      <c r="A26" s="1" t="s">
        <v>76</v>
      </c>
      <c r="B26" s="1">
        <v>20800</v>
      </c>
      <c r="C26" s="1">
        <v>0</v>
      </c>
    </row>
    <row r="27" spans="1:3" x14ac:dyDescent="0.25">
      <c r="A27" s="1" t="s">
        <v>77</v>
      </c>
      <c r="C27" s="1">
        <v>3250</v>
      </c>
    </row>
    <row r="28" spans="1:3" x14ac:dyDescent="0.25">
      <c r="B28" s="18"/>
      <c r="C28" s="18"/>
    </row>
    <row r="29" spans="1:3" ht="16.5" thickBot="1" x14ac:dyDescent="0.3">
      <c r="B29" s="4">
        <f>SUM(B3:B28)</f>
        <v>962160</v>
      </c>
      <c r="C29" s="4">
        <f>SUM(C3:C28)</f>
        <v>962160</v>
      </c>
    </row>
    <row r="30" spans="1:3" ht="16.5" thickTop="1" x14ac:dyDescent="0.25">
      <c r="B30" s="18">
        <f>B29-C29</f>
        <v>0</v>
      </c>
      <c r="C30" s="18"/>
    </row>
    <row r="32" spans="1:3" x14ac:dyDescent="0.25">
      <c r="A32" s="1" t="s">
        <v>79</v>
      </c>
    </row>
    <row r="33" spans="1:3" x14ac:dyDescent="0.25">
      <c r="A33" s="1" t="s">
        <v>95</v>
      </c>
    </row>
    <row r="34" spans="1:3" x14ac:dyDescent="0.25">
      <c r="B34" s="19" t="s">
        <v>80</v>
      </c>
      <c r="C34" s="19" t="s">
        <v>81</v>
      </c>
    </row>
    <row r="35" spans="1:3" x14ac:dyDescent="0.25">
      <c r="B35" s="1" t="s">
        <v>82</v>
      </c>
      <c r="C35" s="1">
        <v>20</v>
      </c>
    </row>
    <row r="36" spans="1:3" x14ac:dyDescent="0.25">
      <c r="B36" s="1" t="s">
        <v>83</v>
      </c>
      <c r="C36" s="3">
        <v>12.5</v>
      </c>
    </row>
    <row r="37" spans="1:3" x14ac:dyDescent="0.25">
      <c r="A37" s="1" t="s">
        <v>321</v>
      </c>
    </row>
    <row r="38" spans="1:3" x14ac:dyDescent="0.25">
      <c r="A38" s="1" t="s">
        <v>322</v>
      </c>
    </row>
    <row r="39" spans="1:3" x14ac:dyDescent="0.25">
      <c r="A39" s="1" t="s">
        <v>94</v>
      </c>
    </row>
    <row r="40" spans="1:3" x14ac:dyDescent="0.25">
      <c r="A40" s="1" t="s">
        <v>93</v>
      </c>
    </row>
    <row r="41" spans="1:3" x14ac:dyDescent="0.25">
      <c r="A41" s="1" t="s">
        <v>92</v>
      </c>
    </row>
    <row r="42" spans="1:3" x14ac:dyDescent="0.25">
      <c r="A42" s="1" t="s">
        <v>91</v>
      </c>
    </row>
    <row r="43" spans="1:3" x14ac:dyDescent="0.25">
      <c r="A43" s="1" t="s">
        <v>90</v>
      </c>
    </row>
    <row r="44" spans="1:3" x14ac:dyDescent="0.25">
      <c r="A44" s="1" t="s">
        <v>323</v>
      </c>
    </row>
    <row r="45" spans="1:3" x14ac:dyDescent="0.25">
      <c r="A45" s="1" t="s">
        <v>324</v>
      </c>
    </row>
    <row r="46" spans="1:3" x14ac:dyDescent="0.25">
      <c r="A46" s="1" t="s">
        <v>89</v>
      </c>
    </row>
    <row r="47" spans="1:3" x14ac:dyDescent="0.25">
      <c r="A47" s="1" t="s">
        <v>0</v>
      </c>
      <c r="B47" s="1" t="s">
        <v>84</v>
      </c>
      <c r="C47" s="1" t="s">
        <v>0</v>
      </c>
    </row>
    <row r="48" spans="1:3" x14ac:dyDescent="0.25">
      <c r="A48" s="5" t="s">
        <v>27</v>
      </c>
    </row>
    <row r="49" spans="1:6" x14ac:dyDescent="0.25">
      <c r="A49" s="1" t="s">
        <v>88</v>
      </c>
      <c r="F49" s="1" t="s">
        <v>85</v>
      </c>
    </row>
    <row r="50" spans="1:6" x14ac:dyDescent="0.25">
      <c r="A50" t="s">
        <v>246</v>
      </c>
    </row>
    <row r="51" spans="1:6" x14ac:dyDescent="0.25">
      <c r="A51" s="1" t="s">
        <v>247</v>
      </c>
      <c r="B51" s="1" t="s">
        <v>0</v>
      </c>
      <c r="F51" s="1" t="s">
        <v>86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DD0AB-4214-472D-AD7D-220C8848DABC}">
  <dimension ref="O34:Q43"/>
  <sheetViews>
    <sheetView workbookViewId="0">
      <selection activeCell="P41" sqref="P41:Q43"/>
    </sheetView>
  </sheetViews>
  <sheetFormatPr defaultRowHeight="15" x14ac:dyDescent="0.25"/>
  <sheetData>
    <row r="34" spans="15:17" x14ac:dyDescent="0.25">
      <c r="P34" t="s">
        <v>339</v>
      </c>
      <c r="Q34">
        <v>16000</v>
      </c>
    </row>
    <row r="35" spans="15:17" x14ac:dyDescent="0.25">
      <c r="Q35">
        <v>450</v>
      </c>
    </row>
    <row r="36" spans="15:17" x14ac:dyDescent="0.25">
      <c r="O36" t="s">
        <v>346</v>
      </c>
      <c r="Q36">
        <f>Q34-Q35</f>
        <v>15550</v>
      </c>
    </row>
    <row r="37" spans="15:17" x14ac:dyDescent="0.25">
      <c r="Q37">
        <v>400</v>
      </c>
    </row>
    <row r="38" spans="15:17" x14ac:dyDescent="0.25">
      <c r="O38" t="s">
        <v>337</v>
      </c>
      <c r="Q38">
        <f>Q36+Q37</f>
        <v>15950</v>
      </c>
    </row>
    <row r="41" spans="15:17" x14ac:dyDescent="0.25">
      <c r="P41" t="s">
        <v>347</v>
      </c>
    </row>
    <row r="42" spans="15:17" x14ac:dyDescent="0.25">
      <c r="P42" t="s">
        <v>339</v>
      </c>
      <c r="Q42">
        <v>450</v>
      </c>
    </row>
    <row r="43" spans="15:17" x14ac:dyDescent="0.25">
      <c r="P43" t="s">
        <v>340</v>
      </c>
      <c r="Q43">
        <v>400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0AF5E-8966-45F3-A106-DAE0DF69C888}">
  <dimension ref="A1:I70"/>
  <sheetViews>
    <sheetView workbookViewId="0">
      <selection activeCell="C9" sqref="C9"/>
    </sheetView>
  </sheetViews>
  <sheetFormatPr defaultRowHeight="15.75" x14ac:dyDescent="0.25"/>
  <cols>
    <col min="1" max="1" width="47.28515625" style="5" customWidth="1"/>
    <col min="2" max="2" width="12.7109375" style="5" bestFit="1" customWidth="1"/>
    <col min="3" max="3" width="23.28515625" style="5" customWidth="1"/>
    <col min="4" max="7" width="9.140625" style="5"/>
    <col min="8" max="8" width="30.85546875" style="5" customWidth="1"/>
    <col min="9" max="9" width="9.85546875" style="5" bestFit="1" customWidth="1"/>
    <col min="10" max="16384" width="9.140625" style="5"/>
  </cols>
  <sheetData>
    <row r="1" spans="1:3" x14ac:dyDescent="0.25">
      <c r="A1" s="6" t="s">
        <v>167</v>
      </c>
    </row>
    <row r="3" spans="1:3" x14ac:dyDescent="0.25">
      <c r="A3" s="7"/>
      <c r="B3" s="8"/>
      <c r="C3" s="8"/>
    </row>
    <row r="4" spans="1:3" x14ac:dyDescent="0.25">
      <c r="A4" s="9"/>
      <c r="B4" s="10" t="s">
        <v>62</v>
      </c>
      <c r="C4" s="10" t="s">
        <v>62</v>
      </c>
    </row>
    <row r="5" spans="1:3" x14ac:dyDescent="0.25">
      <c r="A5" s="5" t="s">
        <v>168</v>
      </c>
      <c r="C5" s="5">
        <v>2500000</v>
      </c>
    </row>
    <row r="6" spans="1:3" x14ac:dyDescent="0.25">
      <c r="A6" s="5" t="s">
        <v>8</v>
      </c>
      <c r="C6" s="5">
        <v>500000</v>
      </c>
    </row>
    <row r="7" spans="1:3" x14ac:dyDescent="0.25">
      <c r="A7" s="5" t="s">
        <v>169</v>
      </c>
      <c r="C7" s="5">
        <v>600000</v>
      </c>
    </row>
    <row r="8" spans="1:3" x14ac:dyDescent="0.25">
      <c r="A8" s="5" t="s">
        <v>170</v>
      </c>
      <c r="C8" s="5">
        <v>3570000</v>
      </c>
    </row>
    <row r="9" spans="1:3" x14ac:dyDescent="0.25">
      <c r="A9" s="5" t="s">
        <v>2</v>
      </c>
      <c r="C9" s="5">
        <v>17400000</v>
      </c>
    </row>
    <row r="10" spans="1:3" x14ac:dyDescent="0.25">
      <c r="A10" s="5" t="s">
        <v>122</v>
      </c>
      <c r="B10" s="5">
        <v>3000000</v>
      </c>
    </row>
    <row r="11" spans="1:3" x14ac:dyDescent="0.25">
      <c r="A11" s="5" t="s">
        <v>171</v>
      </c>
      <c r="B11" s="5">
        <v>2400000</v>
      </c>
    </row>
    <row r="12" spans="1:3" x14ac:dyDescent="0.25">
      <c r="A12" s="5" t="s">
        <v>5</v>
      </c>
      <c r="B12" s="5">
        <v>1960000</v>
      </c>
    </row>
    <row r="13" spans="1:3" x14ac:dyDescent="0.25">
      <c r="A13" s="5" t="s">
        <v>172</v>
      </c>
      <c r="B13" s="5">
        <v>740000</v>
      </c>
    </row>
    <row r="14" spans="1:3" x14ac:dyDescent="0.25">
      <c r="A14" s="5" t="s">
        <v>173</v>
      </c>
      <c r="B14" s="5">
        <v>100000</v>
      </c>
    </row>
    <row r="15" spans="1:3" x14ac:dyDescent="0.25">
      <c r="A15" s="5" t="s">
        <v>174</v>
      </c>
      <c r="B15" s="5">
        <v>940000</v>
      </c>
      <c r="C15" s="11"/>
    </row>
    <row r="16" spans="1:3" x14ac:dyDescent="0.25">
      <c r="A16" s="5" t="s">
        <v>175</v>
      </c>
      <c r="B16" s="5">
        <v>3400000</v>
      </c>
      <c r="C16" s="11"/>
    </row>
    <row r="17" spans="1:3" x14ac:dyDescent="0.25">
      <c r="A17" s="5" t="s">
        <v>176</v>
      </c>
      <c r="B17" s="5">
        <v>9000000</v>
      </c>
      <c r="C17" s="11"/>
    </row>
    <row r="18" spans="1:3" x14ac:dyDescent="0.25">
      <c r="A18" s="5" t="s">
        <v>177</v>
      </c>
      <c r="B18" s="5">
        <v>4400000</v>
      </c>
    </row>
    <row r="19" spans="1:3" x14ac:dyDescent="0.25">
      <c r="A19" s="5" t="s">
        <v>178</v>
      </c>
    </row>
    <row r="20" spans="1:3" x14ac:dyDescent="0.25">
      <c r="A20" s="2" t="s">
        <v>179</v>
      </c>
      <c r="C20" s="5">
        <v>800000</v>
      </c>
    </row>
    <row r="21" spans="1:3" x14ac:dyDescent="0.25">
      <c r="A21" s="2" t="s">
        <v>138</v>
      </c>
      <c r="C21" s="5">
        <v>900000</v>
      </c>
    </row>
    <row r="22" spans="1:3" x14ac:dyDescent="0.25">
      <c r="A22" s="5" t="s">
        <v>180</v>
      </c>
      <c r="B22" s="5">
        <v>1000000</v>
      </c>
    </row>
    <row r="23" spans="1:3" x14ac:dyDescent="0.25">
      <c r="A23" s="5" t="s">
        <v>181</v>
      </c>
      <c r="C23" s="5">
        <v>100000</v>
      </c>
    </row>
    <row r="24" spans="1:3" x14ac:dyDescent="0.25">
      <c r="A24" s="5" t="s">
        <v>182</v>
      </c>
      <c r="B24" s="5">
        <v>100000</v>
      </c>
    </row>
    <row r="25" spans="1:3" x14ac:dyDescent="0.25">
      <c r="A25" s="5" t="s">
        <v>6</v>
      </c>
      <c r="B25" s="5">
        <v>800000</v>
      </c>
    </row>
    <row r="26" spans="1:3" x14ac:dyDescent="0.25">
      <c r="A26" s="5" t="s">
        <v>51</v>
      </c>
      <c r="B26" s="5">
        <v>700000</v>
      </c>
    </row>
    <row r="27" spans="1:3" x14ac:dyDescent="0.25">
      <c r="A27" s="5" t="s">
        <v>183</v>
      </c>
      <c r="C27" s="5">
        <v>800000</v>
      </c>
    </row>
    <row r="28" spans="1:3" x14ac:dyDescent="0.25">
      <c r="A28" s="5" t="s">
        <v>184</v>
      </c>
      <c r="C28" s="5">
        <v>2000000</v>
      </c>
    </row>
    <row r="29" spans="1:3" x14ac:dyDescent="0.25">
      <c r="A29" s="5" t="s">
        <v>185</v>
      </c>
      <c r="B29" s="5">
        <v>700000</v>
      </c>
    </row>
    <row r="30" spans="1:3" x14ac:dyDescent="0.25">
      <c r="A30" s="5" t="s">
        <v>186</v>
      </c>
      <c r="C30" s="5">
        <v>70000</v>
      </c>
    </row>
    <row r="31" spans="1:3" ht="16.5" thickBot="1" x14ac:dyDescent="0.3">
      <c r="B31" s="12">
        <f>SUM(B5:B30)</f>
        <v>29240000</v>
      </c>
      <c r="C31" s="12">
        <f>SUM(C5:C30)</f>
        <v>29240000</v>
      </c>
    </row>
    <row r="32" spans="1:3" ht="16.5" thickTop="1" x14ac:dyDescent="0.25">
      <c r="A32" s="13" t="s">
        <v>20</v>
      </c>
    </row>
    <row r="33" spans="1:9" x14ac:dyDescent="0.25">
      <c r="A33" s="6" t="s">
        <v>187</v>
      </c>
    </row>
    <row r="34" spans="1:9" x14ac:dyDescent="0.25">
      <c r="A34" s="6" t="s">
        <v>188</v>
      </c>
      <c r="H34" s="5" t="s">
        <v>339</v>
      </c>
      <c r="I34" s="5">
        <v>130000</v>
      </c>
    </row>
    <row r="35" spans="1:9" x14ac:dyDescent="0.25">
      <c r="A35" s="6" t="s">
        <v>189</v>
      </c>
      <c r="I35" s="5">
        <v>14000</v>
      </c>
    </row>
    <row r="36" spans="1:9" x14ac:dyDescent="0.25">
      <c r="A36" s="6" t="s">
        <v>190</v>
      </c>
      <c r="I36" s="5">
        <f>I34-I35</f>
        <v>116000</v>
      </c>
    </row>
    <row r="37" spans="1:9" x14ac:dyDescent="0.25">
      <c r="A37" s="6" t="s">
        <v>191</v>
      </c>
      <c r="I37" s="5">
        <v>4000</v>
      </c>
    </row>
    <row r="38" spans="1:9" x14ac:dyDescent="0.25">
      <c r="A38" s="6" t="s">
        <v>192</v>
      </c>
      <c r="H38" s="5" t="s">
        <v>349</v>
      </c>
      <c r="I38" s="5">
        <f>I36+I37</f>
        <v>120000</v>
      </c>
    </row>
    <row r="39" spans="1:9" x14ac:dyDescent="0.25">
      <c r="A39" s="6" t="s">
        <v>193</v>
      </c>
    </row>
    <row r="40" spans="1:9" x14ac:dyDescent="0.25">
      <c r="A40" s="6" t="s">
        <v>194</v>
      </c>
    </row>
    <row r="41" spans="1:9" x14ac:dyDescent="0.25">
      <c r="A41" s="6" t="s">
        <v>195</v>
      </c>
    </row>
    <row r="42" spans="1:9" x14ac:dyDescent="0.25">
      <c r="A42" s="6" t="s">
        <v>196</v>
      </c>
      <c r="H42" s="5" t="s">
        <v>348</v>
      </c>
    </row>
    <row r="43" spans="1:9" x14ac:dyDescent="0.25">
      <c r="A43" s="6" t="s">
        <v>197</v>
      </c>
    </row>
    <row r="44" spans="1:9" x14ac:dyDescent="0.25">
      <c r="A44" s="6" t="s">
        <v>325</v>
      </c>
      <c r="H44" s="5" t="s">
        <v>339</v>
      </c>
      <c r="I44" s="5">
        <v>14000</v>
      </c>
    </row>
    <row r="45" spans="1:9" x14ac:dyDescent="0.25">
      <c r="A45" s="6" t="s">
        <v>326</v>
      </c>
      <c r="H45" s="5" t="s">
        <v>340</v>
      </c>
      <c r="I45" s="5">
        <v>4000</v>
      </c>
    </row>
    <row r="46" spans="1:9" x14ac:dyDescent="0.25">
      <c r="A46" s="6" t="s">
        <v>328</v>
      </c>
    </row>
    <row r="47" spans="1:9" x14ac:dyDescent="0.25">
      <c r="A47" s="6" t="s">
        <v>327</v>
      </c>
    </row>
    <row r="48" spans="1:9" x14ac:dyDescent="0.25">
      <c r="A48" s="6" t="s">
        <v>329</v>
      </c>
    </row>
    <row r="49" spans="1:1" x14ac:dyDescent="0.25">
      <c r="A49" s="6" t="s">
        <v>330</v>
      </c>
    </row>
    <row r="50" spans="1:1" x14ac:dyDescent="0.25">
      <c r="A50" s="6" t="s">
        <v>331</v>
      </c>
    </row>
    <row r="51" spans="1:1" x14ac:dyDescent="0.25">
      <c r="A51" s="6" t="s">
        <v>332</v>
      </c>
    </row>
    <row r="52" spans="1:1" x14ac:dyDescent="0.25">
      <c r="A52" s="6" t="s">
        <v>198</v>
      </c>
    </row>
    <row r="53" spans="1:1" x14ac:dyDescent="0.25">
      <c r="A53" s="6" t="s">
        <v>199</v>
      </c>
    </row>
    <row r="54" spans="1:1" x14ac:dyDescent="0.25">
      <c r="A54" s="6" t="s">
        <v>200</v>
      </c>
    </row>
    <row r="55" spans="1:1" x14ac:dyDescent="0.25">
      <c r="A55" s="6" t="s">
        <v>201</v>
      </c>
    </row>
    <row r="56" spans="1:1" x14ac:dyDescent="0.25">
      <c r="A56" s="13" t="s">
        <v>333</v>
      </c>
    </row>
    <row r="57" spans="1:1" x14ac:dyDescent="0.25">
      <c r="A57" s="13" t="s">
        <v>334</v>
      </c>
    </row>
    <row r="58" spans="1:1" x14ac:dyDescent="0.25">
      <c r="A58" s="6" t="s">
        <v>202</v>
      </c>
    </row>
    <row r="59" spans="1:1" x14ac:dyDescent="0.25">
      <c r="A59" s="6" t="s">
        <v>203</v>
      </c>
    </row>
    <row r="60" spans="1:1" x14ac:dyDescent="0.25">
      <c r="A60" s="6" t="s">
        <v>204</v>
      </c>
    </row>
    <row r="61" spans="1:1" x14ac:dyDescent="0.25">
      <c r="A61" s="6" t="s">
        <v>335</v>
      </c>
    </row>
    <row r="62" spans="1:1" x14ac:dyDescent="0.25">
      <c r="A62" s="6" t="s">
        <v>336</v>
      </c>
    </row>
    <row r="63" spans="1:1" x14ac:dyDescent="0.25">
      <c r="A63" s="13" t="s">
        <v>27</v>
      </c>
    </row>
    <row r="64" spans="1:1" x14ac:dyDescent="0.25">
      <c r="A64" s="6" t="s">
        <v>205</v>
      </c>
    </row>
    <row r="65" spans="1:1" x14ac:dyDescent="0.25">
      <c r="A65" s="6" t="s">
        <v>206</v>
      </c>
    </row>
    <row r="69" spans="1:1" x14ac:dyDescent="0.25">
      <c r="A69" s="6"/>
    </row>
    <row r="70" spans="1:1" x14ac:dyDescent="0.25">
      <c r="A70" s="1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C8AE3-3A8D-4D76-8778-32F47A2F870D}">
  <dimension ref="A1:Q84"/>
  <sheetViews>
    <sheetView topLeftCell="A19" workbookViewId="0">
      <selection activeCell="A24" sqref="A24"/>
    </sheetView>
  </sheetViews>
  <sheetFormatPr defaultRowHeight="15.75" x14ac:dyDescent="0.25"/>
  <cols>
    <col min="1" max="1" width="62.28515625" style="15" customWidth="1"/>
    <col min="2" max="2" width="14.7109375" style="15" customWidth="1"/>
    <col min="3" max="3" width="13" style="15" customWidth="1"/>
    <col min="4" max="4" width="2.140625" style="15" customWidth="1"/>
    <col min="5" max="5" width="42.7109375" style="1" customWidth="1"/>
    <col min="6" max="6" width="11.5703125" style="1" bestFit="1" customWidth="1"/>
    <col min="7" max="7" width="12.7109375" style="1" bestFit="1" customWidth="1"/>
    <col min="8" max="8" width="15.7109375" style="1" customWidth="1"/>
    <col min="9" max="9" width="9.85546875" style="1" bestFit="1" customWidth="1"/>
    <col min="10" max="10" width="10.140625" style="1" customWidth="1"/>
    <col min="11" max="11" width="29.85546875" style="1" customWidth="1"/>
    <col min="12" max="12" width="13.28515625" style="1" bestFit="1" customWidth="1"/>
    <col min="13" max="13" width="20.85546875" style="15" bestFit="1" customWidth="1"/>
    <col min="14" max="14" width="36" style="15" bestFit="1" customWidth="1"/>
    <col min="15" max="15" width="18.7109375" style="15" bestFit="1" customWidth="1"/>
    <col min="16" max="16" width="14.140625" style="15" bestFit="1" customWidth="1"/>
    <col min="17" max="17" width="11.5703125" style="15" bestFit="1" customWidth="1"/>
    <col min="18" max="16384" width="9.140625" style="15"/>
  </cols>
  <sheetData>
    <row r="1" spans="1:17" x14ac:dyDescent="0.25">
      <c r="A1" s="16" t="s">
        <v>469</v>
      </c>
      <c r="K1" s="60" t="s">
        <v>261</v>
      </c>
      <c r="L1" s="60" t="s">
        <v>404</v>
      </c>
      <c r="M1" s="61" t="s">
        <v>449</v>
      </c>
      <c r="N1" s="61" t="s">
        <v>4</v>
      </c>
      <c r="O1" s="61" t="s">
        <v>245</v>
      </c>
      <c r="P1" s="61" t="s">
        <v>409</v>
      </c>
      <c r="Q1" s="61" t="s">
        <v>500</v>
      </c>
    </row>
    <row r="2" spans="1:17" x14ac:dyDescent="0.25">
      <c r="E2" s="1" t="s">
        <v>470</v>
      </c>
      <c r="F2" s="1">
        <v>95250</v>
      </c>
      <c r="K2" s="63" t="str">
        <f>E2</f>
        <v>Closing Inventory</v>
      </c>
      <c r="L2" s="63">
        <f>-F2</f>
        <v>-95250</v>
      </c>
      <c r="M2" s="63"/>
      <c r="N2" s="63"/>
      <c r="O2" s="63"/>
      <c r="P2" s="63"/>
      <c r="Q2" s="63"/>
    </row>
    <row r="3" spans="1:17" x14ac:dyDescent="0.25">
      <c r="K3" s="63" t="s">
        <v>414</v>
      </c>
      <c r="L3" s="63">
        <f>L37</f>
        <v>6000</v>
      </c>
      <c r="M3" s="63"/>
      <c r="N3" s="63"/>
      <c r="O3" s="63"/>
      <c r="P3" s="63"/>
      <c r="Q3" s="63"/>
    </row>
    <row r="4" spans="1:17" x14ac:dyDescent="0.25">
      <c r="E4" s="15" t="s">
        <v>485</v>
      </c>
      <c r="F4" s="15"/>
      <c r="G4" s="15"/>
      <c r="H4" s="15"/>
      <c r="K4" s="63" t="s">
        <v>501</v>
      </c>
      <c r="L4" s="63"/>
      <c r="M4" s="63">
        <f>G9</f>
        <v>3750</v>
      </c>
      <c r="N4" s="63"/>
      <c r="O4" s="63"/>
      <c r="P4" s="63"/>
      <c r="Q4" s="63"/>
    </row>
    <row r="5" spans="1:17" x14ac:dyDescent="0.25">
      <c r="E5" s="1" t="s">
        <v>261</v>
      </c>
      <c r="F5" s="1" t="s">
        <v>465</v>
      </c>
      <c r="G5" s="1" t="s">
        <v>264</v>
      </c>
      <c r="H5" s="1" t="s">
        <v>459</v>
      </c>
      <c r="K5" s="63" t="str">
        <f>E27</f>
        <v>Increase in provision for bad debts</v>
      </c>
      <c r="L5" s="63"/>
      <c r="M5" s="63">
        <v>13000</v>
      </c>
      <c r="N5" s="63"/>
      <c r="O5" s="63"/>
      <c r="P5" s="63"/>
      <c r="Q5" s="63"/>
    </row>
    <row r="6" spans="1:17" x14ac:dyDescent="0.25">
      <c r="E6" s="1" t="s">
        <v>339</v>
      </c>
      <c r="F6" s="1">
        <f>H6-G6</f>
        <v>22500</v>
      </c>
      <c r="G6" s="1">
        <f>G9*50</f>
        <v>187500</v>
      </c>
      <c r="H6" s="1">
        <v>210000</v>
      </c>
      <c r="K6" s="63" t="s">
        <v>272</v>
      </c>
      <c r="L6" s="63"/>
      <c r="M6" s="63"/>
      <c r="N6" s="63"/>
      <c r="O6" s="63"/>
      <c r="P6" s="63">
        <v>10000</v>
      </c>
      <c r="Q6" s="63"/>
    </row>
    <row r="7" spans="1:17" x14ac:dyDescent="0.25">
      <c r="E7" s="1" t="s">
        <v>483</v>
      </c>
      <c r="F7" s="1">
        <v>0</v>
      </c>
      <c r="G7" s="1">
        <v>30000</v>
      </c>
      <c r="H7" s="1">
        <v>30000</v>
      </c>
      <c r="K7" s="63" t="str">
        <f>A15</f>
        <v>Purchases</v>
      </c>
      <c r="L7" s="63">
        <f>B15</f>
        <v>417000</v>
      </c>
      <c r="M7" s="63"/>
      <c r="N7" s="63"/>
      <c r="O7" s="63"/>
      <c r="P7" s="63"/>
      <c r="Q7" s="63"/>
    </row>
    <row r="8" spans="1:17" x14ac:dyDescent="0.25">
      <c r="A8" s="14" t="s">
        <v>115</v>
      </c>
      <c r="B8" s="14"/>
      <c r="D8" s="14"/>
      <c r="E8" s="1" t="s">
        <v>466</v>
      </c>
      <c r="F8" s="1">
        <f>F6-F7</f>
        <v>22500</v>
      </c>
      <c r="G8" s="1">
        <f>G6-G7</f>
        <v>157500</v>
      </c>
      <c r="H8" s="1">
        <f>H6-H7</f>
        <v>180000</v>
      </c>
      <c r="K8" s="63" t="str">
        <f t="shared" ref="K8:K12" si="0">A16</f>
        <v>Inventory as at 1 July 2022</v>
      </c>
      <c r="L8" s="63">
        <f>B16</f>
        <v>111000</v>
      </c>
      <c r="M8" s="63"/>
      <c r="N8" s="63"/>
      <c r="O8" s="63"/>
      <c r="P8" s="63"/>
      <c r="Q8" s="63"/>
    </row>
    <row r="9" spans="1:17" x14ac:dyDescent="0.25">
      <c r="A9" s="16" t="s">
        <v>116</v>
      </c>
      <c r="B9" s="16"/>
      <c r="C9" s="16"/>
      <c r="D9" s="16"/>
      <c r="E9" s="1" t="s">
        <v>484</v>
      </c>
      <c r="F9" s="1">
        <f>F7/8</f>
        <v>0</v>
      </c>
      <c r="G9" s="1">
        <f>G7/8</f>
        <v>3750</v>
      </c>
      <c r="H9" s="1">
        <f>SUM(F9:G9)</f>
        <v>3750</v>
      </c>
      <c r="K9" s="63" t="str">
        <f t="shared" si="0"/>
        <v>Distribution Costs</v>
      </c>
      <c r="L9" s="63"/>
      <c r="M9" s="63"/>
      <c r="N9" s="63">
        <f>B17</f>
        <v>128000</v>
      </c>
      <c r="O9" s="63"/>
      <c r="P9" s="63"/>
      <c r="Q9" s="63"/>
    </row>
    <row r="10" spans="1:17" x14ac:dyDescent="0.25">
      <c r="A10" s="25" t="s">
        <v>117</v>
      </c>
      <c r="B10" s="25"/>
      <c r="C10" s="25"/>
      <c r="D10" s="25"/>
      <c r="E10" s="1" t="s">
        <v>486</v>
      </c>
      <c r="F10" s="1">
        <f>F8-F9</f>
        <v>22500</v>
      </c>
      <c r="G10" s="1">
        <f>G8-G9</f>
        <v>153750</v>
      </c>
      <c r="H10" s="1">
        <f>SUM(F10:G10)</f>
        <v>176250</v>
      </c>
      <c r="K10" s="63" t="str">
        <f t="shared" si="0"/>
        <v>Administration Expenses</v>
      </c>
      <c r="L10" s="63"/>
      <c r="M10" s="63">
        <f>B18</f>
        <v>86500</v>
      </c>
      <c r="N10" s="63"/>
      <c r="O10" s="63"/>
      <c r="P10" s="63"/>
      <c r="Q10" s="63"/>
    </row>
    <row r="11" spans="1:17" x14ac:dyDescent="0.25">
      <c r="A11" s="15" t="s">
        <v>118</v>
      </c>
      <c r="D11" s="27"/>
      <c r="E11" s="1" t="s">
        <v>356</v>
      </c>
      <c r="F11" s="1">
        <v>2500</v>
      </c>
      <c r="G11" s="1">
        <v>11250</v>
      </c>
      <c r="H11" s="1">
        <f>H12-H10</f>
        <v>13750</v>
      </c>
      <c r="K11" s="63" t="s">
        <v>517</v>
      </c>
      <c r="L11" s="63"/>
      <c r="M11" s="63"/>
      <c r="N11" s="63"/>
      <c r="O11" s="63">
        <f>8%*C33</f>
        <v>3000</v>
      </c>
      <c r="P11" s="63"/>
      <c r="Q11" s="63"/>
    </row>
    <row r="12" spans="1:17" x14ac:dyDescent="0.25">
      <c r="A12" s="16"/>
      <c r="B12" s="15" t="s">
        <v>119</v>
      </c>
      <c r="C12" s="15" t="s">
        <v>120</v>
      </c>
      <c r="D12" s="27"/>
      <c r="E12" s="19" t="s">
        <v>487</v>
      </c>
      <c r="F12" s="19">
        <f>F10+F11</f>
        <v>25000</v>
      </c>
      <c r="G12" s="19">
        <f>G10+G11</f>
        <v>165000</v>
      </c>
      <c r="H12" s="19">
        <v>190000</v>
      </c>
      <c r="K12" s="63" t="str">
        <f t="shared" si="0"/>
        <v>Rent Income</v>
      </c>
      <c r="L12" s="63"/>
      <c r="M12" s="63"/>
      <c r="N12" s="63"/>
      <c r="O12" s="63"/>
      <c r="P12" s="63">
        <f>C20</f>
        <v>12000</v>
      </c>
      <c r="Q12" s="63"/>
    </row>
    <row r="13" spans="1:17" x14ac:dyDescent="0.25">
      <c r="B13" s="26" t="s">
        <v>121</v>
      </c>
      <c r="C13" s="26" t="s">
        <v>121</v>
      </c>
      <c r="K13" s="63" t="s">
        <v>502</v>
      </c>
      <c r="L13" s="63"/>
      <c r="M13" s="63"/>
      <c r="N13" s="63"/>
      <c r="O13" s="63"/>
      <c r="P13" s="63"/>
      <c r="Q13" s="63">
        <f>H11</f>
        <v>13750</v>
      </c>
    </row>
    <row r="14" spans="1:17" x14ac:dyDescent="0.25">
      <c r="A14" s="15" t="s">
        <v>2</v>
      </c>
      <c r="B14" s="1"/>
      <c r="C14" s="1">
        <v>662000</v>
      </c>
      <c r="D14" s="27"/>
      <c r="K14" s="62" t="s">
        <v>503</v>
      </c>
      <c r="L14" s="63">
        <f>L42</f>
        <v>1250</v>
      </c>
      <c r="M14" s="63"/>
      <c r="N14" s="63"/>
      <c r="O14" s="63"/>
      <c r="P14" s="63"/>
      <c r="Q14" s="63"/>
    </row>
    <row r="15" spans="1:17" x14ac:dyDescent="0.25">
      <c r="A15" s="15" t="s">
        <v>122</v>
      </c>
      <c r="B15" s="1">
        <v>417000</v>
      </c>
      <c r="C15" s="1"/>
      <c r="D15" s="27"/>
      <c r="E15" s="1" t="s">
        <v>488</v>
      </c>
      <c r="F15" s="1" t="s">
        <v>491</v>
      </c>
      <c r="K15" s="63" t="s">
        <v>468</v>
      </c>
      <c r="L15" s="63"/>
      <c r="M15" s="63"/>
      <c r="N15" s="63"/>
      <c r="O15" s="63"/>
      <c r="P15" s="63"/>
      <c r="Q15" s="63">
        <v>-4250</v>
      </c>
    </row>
    <row r="16" spans="1:17" x14ac:dyDescent="0.25">
      <c r="A16" s="15" t="s">
        <v>123</v>
      </c>
      <c r="B16" s="1">
        <v>111000</v>
      </c>
      <c r="C16" s="1"/>
      <c r="D16" s="27"/>
      <c r="E16" s="1" t="s">
        <v>489</v>
      </c>
      <c r="F16" s="1" t="s">
        <v>490</v>
      </c>
      <c r="K16" s="60" t="s">
        <v>459</v>
      </c>
      <c r="L16" s="60">
        <f t="shared" ref="L16:Q16" si="1">SUM(L2:L15)</f>
        <v>440000</v>
      </c>
      <c r="M16" s="60">
        <f t="shared" si="1"/>
        <v>103250</v>
      </c>
      <c r="N16" s="60">
        <f t="shared" si="1"/>
        <v>128000</v>
      </c>
      <c r="O16" s="60">
        <f t="shared" si="1"/>
        <v>3000</v>
      </c>
      <c r="P16" s="60">
        <f t="shared" si="1"/>
        <v>22000</v>
      </c>
      <c r="Q16" s="60">
        <f t="shared" si="1"/>
        <v>9500</v>
      </c>
    </row>
    <row r="17" spans="1:17" x14ac:dyDescent="0.25">
      <c r="A17" s="15" t="s">
        <v>124</v>
      </c>
      <c r="B17" s="1">
        <v>128000</v>
      </c>
      <c r="C17" s="1"/>
      <c r="D17" s="27"/>
      <c r="M17" s="1"/>
      <c r="N17" s="1"/>
      <c r="O17" s="1"/>
      <c r="P17" s="1"/>
      <c r="Q17" s="1"/>
    </row>
    <row r="18" spans="1:17" x14ac:dyDescent="0.25">
      <c r="A18" s="15" t="s">
        <v>125</v>
      </c>
      <c r="B18" s="1">
        <v>86500</v>
      </c>
      <c r="C18" s="1"/>
      <c r="D18" s="27"/>
      <c r="M18" s="16" t="s">
        <v>508</v>
      </c>
    </row>
    <row r="19" spans="1:17" x14ac:dyDescent="0.25">
      <c r="A19" s="15" t="s">
        <v>517</v>
      </c>
      <c r="B19" s="1">
        <v>1500</v>
      </c>
      <c r="C19" s="1"/>
      <c r="D19" s="27"/>
      <c r="E19" s="1" t="s">
        <v>51</v>
      </c>
      <c r="F19" s="1">
        <f>B26</f>
        <v>130000</v>
      </c>
      <c r="K19" s="60" t="s">
        <v>261</v>
      </c>
      <c r="L19" s="60" t="s">
        <v>457</v>
      </c>
      <c r="M19" s="61" t="s">
        <v>497</v>
      </c>
      <c r="N19" s="61" t="s">
        <v>8</v>
      </c>
      <c r="O19" s="61" t="s">
        <v>458</v>
      </c>
      <c r="P19" s="61" t="s">
        <v>500</v>
      </c>
      <c r="Q19" s="61" t="s">
        <v>452</v>
      </c>
    </row>
    <row r="20" spans="1:17" x14ac:dyDescent="0.25">
      <c r="A20" s="15" t="s">
        <v>126</v>
      </c>
      <c r="B20" s="1"/>
      <c r="C20" s="1">
        <v>12000</v>
      </c>
      <c r="D20" s="27"/>
      <c r="E20" s="1" t="s">
        <v>492</v>
      </c>
      <c r="F20" s="1">
        <f>10%*F19</f>
        <v>13000</v>
      </c>
      <c r="K20" s="62" t="s">
        <v>354</v>
      </c>
      <c r="L20" s="63">
        <f>C28</f>
        <v>25000</v>
      </c>
      <c r="M20" s="64">
        <f>C32</f>
        <v>142500</v>
      </c>
      <c r="N20" s="64">
        <f>C29</f>
        <v>61000</v>
      </c>
      <c r="O20" s="64">
        <f>C30</f>
        <v>188250</v>
      </c>
      <c r="P20" s="62">
        <v>0</v>
      </c>
      <c r="Q20" s="65">
        <f t="shared" ref="Q20:Q25" si="2">SUM(L20:P20)</f>
        <v>416750</v>
      </c>
    </row>
    <row r="21" spans="1:17" x14ac:dyDescent="0.25">
      <c r="A21" s="15" t="s">
        <v>127</v>
      </c>
      <c r="B21" s="1">
        <v>210000</v>
      </c>
      <c r="C21" s="1"/>
      <c r="D21" s="27"/>
      <c r="E21" s="19" t="s">
        <v>467</v>
      </c>
      <c r="F21" s="19">
        <f>F19-F20</f>
        <v>117000</v>
      </c>
      <c r="K21" s="62" t="s">
        <v>495</v>
      </c>
      <c r="L21" s="63">
        <v>6250</v>
      </c>
      <c r="M21" s="62">
        <v>-6250</v>
      </c>
      <c r="N21" s="62"/>
      <c r="O21" s="62"/>
      <c r="P21" s="62"/>
      <c r="Q21" s="65">
        <f t="shared" si="2"/>
        <v>0</v>
      </c>
    </row>
    <row r="22" spans="1:17" x14ac:dyDescent="0.25">
      <c r="A22" s="15" t="s">
        <v>128</v>
      </c>
      <c r="B22" s="1"/>
      <c r="C22" s="1">
        <v>30000</v>
      </c>
      <c r="D22" s="27"/>
      <c r="K22" s="62" t="s">
        <v>506</v>
      </c>
      <c r="L22" s="63"/>
      <c r="M22" s="62"/>
      <c r="N22" s="62"/>
      <c r="O22" s="64">
        <f>L62</f>
        <v>2750</v>
      </c>
      <c r="P22" s="62"/>
      <c r="Q22" s="65">
        <f t="shared" si="2"/>
        <v>2750</v>
      </c>
    </row>
    <row r="23" spans="1:17" x14ac:dyDescent="0.25">
      <c r="A23" s="15" t="s">
        <v>129</v>
      </c>
      <c r="B23" s="1">
        <v>64500</v>
      </c>
      <c r="C23" s="1"/>
      <c r="D23" s="27"/>
      <c r="K23" s="62" t="s">
        <v>502</v>
      </c>
      <c r="L23" s="63"/>
      <c r="M23" s="62"/>
      <c r="N23" s="62"/>
      <c r="O23" s="62"/>
      <c r="P23" s="64">
        <f>Q16</f>
        <v>9500</v>
      </c>
      <c r="Q23" s="65">
        <f t="shared" si="2"/>
        <v>9500</v>
      </c>
    </row>
    <row r="24" spans="1:17" x14ac:dyDescent="0.25">
      <c r="A24" s="15" t="s">
        <v>128</v>
      </c>
      <c r="B24" s="1"/>
      <c r="C24" s="1">
        <v>31500</v>
      </c>
      <c r="D24" s="27"/>
      <c r="E24" s="1" t="s">
        <v>493</v>
      </c>
      <c r="F24" s="1">
        <v>0</v>
      </c>
      <c r="K24" s="62" t="s">
        <v>507</v>
      </c>
      <c r="L24" s="63"/>
      <c r="M24" s="62"/>
      <c r="N24" s="62"/>
      <c r="O24" s="62">
        <v>-6500</v>
      </c>
      <c r="P24" s="62"/>
      <c r="Q24" s="65">
        <f t="shared" si="2"/>
        <v>-6500</v>
      </c>
    </row>
    <row r="25" spans="1:17" x14ac:dyDescent="0.25">
      <c r="A25" s="15" t="s">
        <v>130</v>
      </c>
      <c r="B25" s="1">
        <v>137000</v>
      </c>
      <c r="C25" s="1"/>
      <c r="D25" s="27"/>
      <c r="E25" s="1" t="s">
        <v>494</v>
      </c>
      <c r="F25" s="1">
        <f>F20</f>
        <v>13000</v>
      </c>
      <c r="K25" s="61" t="s">
        <v>452</v>
      </c>
      <c r="L25" s="60">
        <f>SUM(L20:L24)</f>
        <v>31250</v>
      </c>
      <c r="M25" s="65">
        <f>SUM(M20:M24)</f>
        <v>136250</v>
      </c>
      <c r="N25" s="65">
        <f>SUM(N20:N24)</f>
        <v>61000</v>
      </c>
      <c r="O25" s="65">
        <f>SUM(O20:O24)</f>
        <v>184500</v>
      </c>
      <c r="P25" s="61">
        <f>SUM(P20:P24)</f>
        <v>9500</v>
      </c>
      <c r="Q25" s="65">
        <f t="shared" si="2"/>
        <v>422500</v>
      </c>
    </row>
    <row r="26" spans="1:17" x14ac:dyDescent="0.25">
      <c r="A26" s="15" t="s">
        <v>131</v>
      </c>
      <c r="B26" s="1">
        <v>130000</v>
      </c>
      <c r="C26" s="1"/>
      <c r="D26" s="27"/>
      <c r="K26" s="15"/>
    </row>
    <row r="27" spans="1:17" x14ac:dyDescent="0.25">
      <c r="A27" s="15" t="s">
        <v>132</v>
      </c>
      <c r="B27" s="1">
        <v>8000</v>
      </c>
      <c r="C27" s="1"/>
      <c r="D27" s="27"/>
      <c r="E27" s="1" t="s">
        <v>416</v>
      </c>
      <c r="F27" s="1">
        <v>13000</v>
      </c>
      <c r="K27" s="15"/>
    </row>
    <row r="28" spans="1:17" x14ac:dyDescent="0.25">
      <c r="A28" s="15" t="s">
        <v>133</v>
      </c>
      <c r="B28" s="1"/>
      <c r="C28" s="1">
        <v>25000</v>
      </c>
      <c r="D28" s="27"/>
      <c r="K28" s="15"/>
    </row>
    <row r="29" spans="1:17" x14ac:dyDescent="0.25">
      <c r="A29" s="15" t="s">
        <v>134</v>
      </c>
      <c r="B29" s="1"/>
      <c r="C29" s="1">
        <v>61000</v>
      </c>
      <c r="D29" s="27"/>
      <c r="E29" s="1" t="s">
        <v>499</v>
      </c>
      <c r="F29" s="1">
        <f>147000-137000</f>
        <v>10000</v>
      </c>
    </row>
    <row r="30" spans="1:17" x14ac:dyDescent="0.25">
      <c r="A30" s="15" t="s">
        <v>135</v>
      </c>
      <c r="B30" s="1"/>
      <c r="C30" s="1">
        <v>188250</v>
      </c>
      <c r="D30" s="27"/>
    </row>
    <row r="31" spans="1:17" x14ac:dyDescent="0.25">
      <c r="A31" s="15" t="s">
        <v>136</v>
      </c>
      <c r="B31" s="1">
        <v>6500</v>
      </c>
      <c r="C31" s="1"/>
      <c r="D31" s="27"/>
      <c r="F31" s="67" t="s">
        <v>176</v>
      </c>
      <c r="G31" s="67"/>
      <c r="H31" s="67"/>
      <c r="I31" s="67"/>
    </row>
    <row r="32" spans="1:17" x14ac:dyDescent="0.25">
      <c r="A32" s="15" t="s">
        <v>137</v>
      </c>
      <c r="B32" s="1"/>
      <c r="C32" s="1">
        <v>142500</v>
      </c>
      <c r="D32" s="27"/>
      <c r="F32" s="52" t="s">
        <v>460</v>
      </c>
      <c r="G32" s="53">
        <f>B23</f>
        <v>64500</v>
      </c>
      <c r="H32" s="1" t="s">
        <v>357</v>
      </c>
      <c r="I32" s="1">
        <v>3750</v>
      </c>
      <c r="K32" s="1" t="s">
        <v>477</v>
      </c>
      <c r="L32" s="1">
        <v>64500</v>
      </c>
    </row>
    <row r="33" spans="1:14" x14ac:dyDescent="0.25">
      <c r="A33" s="15" t="s">
        <v>140</v>
      </c>
      <c r="B33" s="1"/>
      <c r="C33" s="1">
        <v>37500</v>
      </c>
      <c r="D33" s="27"/>
      <c r="F33" s="54"/>
      <c r="G33" s="55"/>
      <c r="K33" s="1" t="s">
        <v>478</v>
      </c>
      <c r="L33" s="1">
        <v>31500</v>
      </c>
    </row>
    <row r="34" spans="1:14" x14ac:dyDescent="0.25">
      <c r="A34" s="15" t="s">
        <v>141</v>
      </c>
      <c r="B34" s="1"/>
      <c r="C34" s="1">
        <v>108500</v>
      </c>
      <c r="D34" s="27"/>
      <c r="F34" s="54"/>
      <c r="G34" s="55"/>
      <c r="H34" s="1" t="s">
        <v>476</v>
      </c>
      <c r="I34" s="1">
        <v>60750</v>
      </c>
      <c r="K34" s="1" t="s">
        <v>479</v>
      </c>
      <c r="L34" s="1">
        <f>L32-L33</f>
        <v>33000</v>
      </c>
    </row>
    <row r="35" spans="1:14" ht="18.75" thickBot="1" x14ac:dyDescent="0.45">
      <c r="A35" s="15" t="s">
        <v>142</v>
      </c>
      <c r="B35" s="9"/>
      <c r="C35" s="50">
        <v>1750</v>
      </c>
      <c r="D35" s="27"/>
      <c r="E35" s="1">
        <f>8%*C33</f>
        <v>3000</v>
      </c>
      <c r="F35" s="54"/>
      <c r="G35" s="58">
        <f>SUM(G32:G34)</f>
        <v>64500</v>
      </c>
      <c r="H35" s="19"/>
      <c r="I35" s="4">
        <f>SUM(I32:I34)</f>
        <v>64500</v>
      </c>
      <c r="K35" s="1" t="s">
        <v>480</v>
      </c>
      <c r="L35" s="1">
        <f>3750-750</f>
        <v>3000</v>
      </c>
    </row>
    <row r="36" spans="1:14" ht="16.5" thickTop="1" x14ac:dyDescent="0.25">
      <c r="B36" s="1">
        <f>SUM(B14:B35)</f>
        <v>1300000</v>
      </c>
      <c r="C36" s="1">
        <f>SUM(C14:C35)</f>
        <v>1300000</v>
      </c>
      <c r="F36" s="54"/>
      <c r="G36" s="54"/>
      <c r="H36" s="54"/>
      <c r="I36" s="54"/>
      <c r="K36" s="1" t="s">
        <v>481</v>
      </c>
      <c r="L36" s="1">
        <f>L34-L35</f>
        <v>30000</v>
      </c>
    </row>
    <row r="37" spans="1:14" x14ac:dyDescent="0.25">
      <c r="A37" s="28"/>
      <c r="B37" s="27"/>
      <c r="C37" s="27"/>
      <c r="D37" s="27"/>
      <c r="F37" s="54"/>
      <c r="G37" s="54"/>
      <c r="H37" s="54"/>
      <c r="I37" s="54"/>
      <c r="K37" s="19" t="s">
        <v>464</v>
      </c>
      <c r="L37" s="19">
        <f>20%*L36</f>
        <v>6000</v>
      </c>
    </row>
    <row r="38" spans="1:14" x14ac:dyDescent="0.25">
      <c r="A38" s="16" t="s">
        <v>143</v>
      </c>
      <c r="K38" s="19" t="s">
        <v>482</v>
      </c>
      <c r="L38" s="19">
        <f>L36-L37</f>
        <v>24000</v>
      </c>
      <c r="M38" s="59"/>
    </row>
    <row r="39" spans="1:14" x14ac:dyDescent="0.25">
      <c r="A39" s="15" t="s">
        <v>144</v>
      </c>
    </row>
    <row r="40" spans="1:14" x14ac:dyDescent="0.25">
      <c r="A40" s="15" t="s">
        <v>145</v>
      </c>
      <c r="F40" s="51"/>
      <c r="G40" s="67" t="s">
        <v>471</v>
      </c>
      <c r="H40" s="67"/>
      <c r="I40" s="51"/>
      <c r="K40" s="1" t="s">
        <v>480</v>
      </c>
      <c r="L40" s="1">
        <f>L35</f>
        <v>3000</v>
      </c>
    </row>
    <row r="41" spans="1:14" x14ac:dyDescent="0.25">
      <c r="A41" s="15" t="s">
        <v>146</v>
      </c>
      <c r="F41" s="52" t="s">
        <v>357</v>
      </c>
      <c r="G41" s="53">
        <v>750</v>
      </c>
      <c r="H41" s="1" t="s">
        <v>460</v>
      </c>
      <c r="I41" s="1">
        <v>31500</v>
      </c>
      <c r="K41" s="1" t="s">
        <v>375</v>
      </c>
      <c r="L41" s="1">
        <v>1750</v>
      </c>
    </row>
    <row r="42" spans="1:14" x14ac:dyDescent="0.25">
      <c r="A42" s="15" t="s">
        <v>147</v>
      </c>
      <c r="F42" s="54"/>
      <c r="G42" s="55"/>
      <c r="H42" s="1" t="s">
        <v>368</v>
      </c>
      <c r="I42" s="1">
        <f>((G32-I32)-(I41-G41))*20%</f>
        <v>6000</v>
      </c>
      <c r="K42" s="19" t="s">
        <v>463</v>
      </c>
      <c r="L42" s="19">
        <f>L40-L41</f>
        <v>1250</v>
      </c>
    </row>
    <row r="43" spans="1:14" x14ac:dyDescent="0.25">
      <c r="A43" s="15" t="s">
        <v>148</v>
      </c>
      <c r="F43" s="54" t="s">
        <v>476</v>
      </c>
      <c r="G43" s="55">
        <v>36750</v>
      </c>
    </row>
    <row r="44" spans="1:14" ht="16.5" thickBot="1" x14ac:dyDescent="0.3">
      <c r="A44" s="15" t="s">
        <v>149</v>
      </c>
      <c r="F44" s="54"/>
      <c r="G44" s="58">
        <f>SUM(G41:G43)</f>
        <v>37500</v>
      </c>
      <c r="H44" s="19"/>
      <c r="I44" s="4">
        <f>SUM(I41:I43)</f>
        <v>37500</v>
      </c>
    </row>
    <row r="45" spans="1:14" ht="16.5" thickTop="1" x14ac:dyDescent="0.25">
      <c r="A45" s="15" t="s">
        <v>150</v>
      </c>
      <c r="K45" s="1" t="s">
        <v>496</v>
      </c>
      <c r="L45" s="66"/>
    </row>
    <row r="46" spans="1:14" x14ac:dyDescent="0.25">
      <c r="A46" s="15" t="s">
        <v>151</v>
      </c>
      <c r="L46" s="66"/>
    </row>
    <row r="48" spans="1:14" x14ac:dyDescent="0.25">
      <c r="A48" s="15" t="s">
        <v>152</v>
      </c>
      <c r="F48" s="51"/>
      <c r="G48" s="67" t="s">
        <v>472</v>
      </c>
      <c r="H48" s="67"/>
      <c r="I48" s="51"/>
      <c r="N48" s="15" t="s">
        <v>429</v>
      </c>
    </row>
    <row r="49" spans="1:15" x14ac:dyDescent="0.25">
      <c r="A49" s="15" t="s">
        <v>153</v>
      </c>
      <c r="F49" s="52" t="s">
        <v>138</v>
      </c>
      <c r="G49" s="53">
        <v>3750</v>
      </c>
      <c r="H49" s="1" t="s">
        <v>473</v>
      </c>
      <c r="I49" s="1">
        <v>750</v>
      </c>
    </row>
    <row r="50" spans="1:15" x14ac:dyDescent="0.25">
      <c r="F50" s="54"/>
      <c r="G50" s="55"/>
      <c r="H50" s="1" t="s">
        <v>139</v>
      </c>
      <c r="I50" s="1">
        <v>1750</v>
      </c>
      <c r="K50" s="1" t="s">
        <v>453</v>
      </c>
      <c r="N50" s="16" t="s">
        <v>430</v>
      </c>
    </row>
    <row r="51" spans="1:15" x14ac:dyDescent="0.25">
      <c r="A51" s="15" t="s">
        <v>154</v>
      </c>
      <c r="F51" s="54"/>
      <c r="G51" s="55"/>
      <c r="H51" s="1" t="s">
        <v>474</v>
      </c>
      <c r="I51" s="1">
        <v>1250</v>
      </c>
      <c r="K51" s="1" t="s">
        <v>2</v>
      </c>
      <c r="L51" s="1">
        <f>C14</f>
        <v>662000</v>
      </c>
      <c r="N51" s="15" t="s">
        <v>510</v>
      </c>
      <c r="O51" s="59">
        <f>L38+H12</f>
        <v>214000</v>
      </c>
    </row>
    <row r="52" spans="1:15" ht="16.5" thickBot="1" x14ac:dyDescent="0.3">
      <c r="A52" s="15" t="s">
        <v>155</v>
      </c>
      <c r="F52" s="54"/>
      <c r="G52" s="56">
        <f>SUM(G49:G51)</f>
        <v>3750</v>
      </c>
      <c r="I52" s="57">
        <f>SUM(I49:I51)</f>
        <v>3750</v>
      </c>
      <c r="K52" s="1" t="s">
        <v>404</v>
      </c>
      <c r="L52" s="1">
        <f>L16</f>
        <v>440000</v>
      </c>
      <c r="N52" s="15" t="s">
        <v>130</v>
      </c>
      <c r="O52" s="15">
        <f>147000</f>
        <v>147000</v>
      </c>
    </row>
    <row r="53" spans="1:15" ht="15" customHeight="1" thickTop="1" x14ac:dyDescent="0.25">
      <c r="A53" s="15" t="s">
        <v>156</v>
      </c>
      <c r="K53" s="19" t="s">
        <v>408</v>
      </c>
      <c r="L53" s="1">
        <f>L51-L52</f>
        <v>222000</v>
      </c>
    </row>
    <row r="54" spans="1:15" ht="15" customHeight="1" x14ac:dyDescent="0.25">
      <c r="K54" s="1" t="s">
        <v>450</v>
      </c>
      <c r="L54" s="1">
        <f>P16</f>
        <v>22000</v>
      </c>
    </row>
    <row r="55" spans="1:15" x14ac:dyDescent="0.25">
      <c r="A55" s="15" t="s">
        <v>157</v>
      </c>
      <c r="F55" s="51"/>
      <c r="G55" s="67" t="s">
        <v>384</v>
      </c>
      <c r="H55" s="67"/>
      <c r="I55" s="51"/>
      <c r="K55" s="19" t="s">
        <v>411</v>
      </c>
      <c r="L55" s="1">
        <f>L53+L54</f>
        <v>244000</v>
      </c>
      <c r="N55" s="16" t="s">
        <v>433</v>
      </c>
    </row>
    <row r="56" spans="1:15" x14ac:dyDescent="0.25">
      <c r="A56" s="15" t="s">
        <v>158</v>
      </c>
      <c r="F56" s="52" t="s">
        <v>475</v>
      </c>
      <c r="G56" s="53"/>
      <c r="H56" s="1" t="s">
        <v>453</v>
      </c>
      <c r="K56" s="19" t="s">
        <v>412</v>
      </c>
      <c r="N56" s="15" t="s">
        <v>434</v>
      </c>
      <c r="O56" s="59">
        <f>F2</f>
        <v>95250</v>
      </c>
    </row>
    <row r="57" spans="1:15" x14ac:dyDescent="0.25">
      <c r="A57" s="15" t="s">
        <v>159</v>
      </c>
      <c r="F57" s="54"/>
      <c r="G57" s="55"/>
      <c r="K57" s="1" t="str">
        <f>M1</f>
        <v>Administrative costs</v>
      </c>
      <c r="L57" s="1">
        <f>M16</f>
        <v>103250</v>
      </c>
      <c r="N57" s="15" t="s">
        <v>131</v>
      </c>
      <c r="O57" s="59">
        <f>F21</f>
        <v>117000</v>
      </c>
    </row>
    <row r="58" spans="1:15" x14ac:dyDescent="0.25">
      <c r="F58" s="54"/>
      <c r="G58" s="55"/>
      <c r="K58" s="1" t="str">
        <f>N1</f>
        <v>Distribution costs</v>
      </c>
      <c r="L58" s="1">
        <f>N16</f>
        <v>128000</v>
      </c>
      <c r="N58" s="15" t="s">
        <v>511</v>
      </c>
      <c r="O58" s="59">
        <f>B27</f>
        <v>8000</v>
      </c>
    </row>
    <row r="59" spans="1:15" ht="16.5" thickBot="1" x14ac:dyDescent="0.3">
      <c r="A59" s="15" t="s">
        <v>160</v>
      </c>
      <c r="F59" s="54"/>
      <c r="G59" s="56">
        <f>SUM(G56:G58)</f>
        <v>0</v>
      </c>
      <c r="I59" s="57">
        <f>SUM(I56:I58)</f>
        <v>0</v>
      </c>
      <c r="K59" s="1" t="str">
        <f>O1</f>
        <v>Finance cost</v>
      </c>
      <c r="L59" s="1">
        <f>O16</f>
        <v>3000</v>
      </c>
    </row>
    <row r="60" spans="1:15" ht="16.5" thickTop="1" x14ac:dyDescent="0.25">
      <c r="A60" s="15" t="s">
        <v>161</v>
      </c>
      <c r="K60" s="1" t="s">
        <v>423</v>
      </c>
      <c r="L60" s="1">
        <f>L55-L57-L58-L59</f>
        <v>9750</v>
      </c>
    </row>
    <row r="61" spans="1:15" ht="21" thickBot="1" x14ac:dyDescent="0.35">
      <c r="K61" s="1" t="s">
        <v>504</v>
      </c>
      <c r="L61" s="1">
        <f>11250-4250</f>
        <v>7000</v>
      </c>
      <c r="N61" s="68" t="s">
        <v>435</v>
      </c>
      <c r="O61" s="70">
        <f>SUM(O51:O60)</f>
        <v>581250</v>
      </c>
    </row>
    <row r="62" spans="1:15" ht="16.5" thickTop="1" x14ac:dyDescent="0.25">
      <c r="A62" s="15" t="s">
        <v>162</v>
      </c>
      <c r="F62" s="51"/>
      <c r="G62" s="67" t="s">
        <v>457</v>
      </c>
      <c r="H62" s="67"/>
      <c r="I62" s="51"/>
      <c r="K62" s="1" t="s">
        <v>505</v>
      </c>
      <c r="L62" s="1">
        <f>L60-L61</f>
        <v>2750</v>
      </c>
    </row>
    <row r="63" spans="1:15" x14ac:dyDescent="0.25">
      <c r="F63" s="52"/>
      <c r="G63" s="53"/>
      <c r="H63" s="1" t="s">
        <v>354</v>
      </c>
      <c r="I63" s="1">
        <v>25000</v>
      </c>
      <c r="K63" s="1" t="s">
        <v>500</v>
      </c>
      <c r="L63" s="1">
        <f>P25</f>
        <v>9500</v>
      </c>
      <c r="N63" s="16" t="s">
        <v>436</v>
      </c>
    </row>
    <row r="64" spans="1:15" x14ac:dyDescent="0.25">
      <c r="A64" s="16" t="s">
        <v>27</v>
      </c>
      <c r="F64" s="54"/>
      <c r="G64" s="55"/>
      <c r="H64" s="1" t="s">
        <v>498</v>
      </c>
      <c r="I64" s="1">
        <f>(1/4)*25000</f>
        <v>6250</v>
      </c>
      <c r="K64" s="1" t="s">
        <v>509</v>
      </c>
      <c r="L64" s="19">
        <f>SUM(L62:L63)</f>
        <v>12250</v>
      </c>
      <c r="N64" s="16" t="s">
        <v>437</v>
      </c>
    </row>
    <row r="65" spans="1:15" x14ac:dyDescent="0.25">
      <c r="A65" s="15" t="s">
        <v>163</v>
      </c>
      <c r="F65" s="54" t="s">
        <v>358</v>
      </c>
      <c r="G65" s="55">
        <v>31250</v>
      </c>
      <c r="N65" s="15" t="s">
        <v>168</v>
      </c>
      <c r="O65" s="59">
        <f>L25</f>
        <v>31250</v>
      </c>
    </row>
    <row r="66" spans="1:15" ht="16.5" thickBot="1" x14ac:dyDescent="0.3">
      <c r="F66" s="54"/>
      <c r="G66" s="58">
        <f>SUM(G63:G65)</f>
        <v>31250</v>
      </c>
      <c r="H66" s="19"/>
      <c r="I66" s="4">
        <f>SUM(I63:I65)</f>
        <v>31250</v>
      </c>
      <c r="N66" s="15" t="s">
        <v>439</v>
      </c>
    </row>
    <row r="67" spans="1:15" ht="16.5" thickTop="1" x14ac:dyDescent="0.25">
      <c r="A67" s="15" t="s">
        <v>164</v>
      </c>
      <c r="N67" s="15" t="s">
        <v>458</v>
      </c>
      <c r="O67" s="59">
        <f>O25</f>
        <v>184500</v>
      </c>
    </row>
    <row r="68" spans="1:15" x14ac:dyDescent="0.25">
      <c r="A68" s="15" t="s">
        <v>165</v>
      </c>
      <c r="G68" s="15"/>
      <c r="H68" s="15"/>
      <c r="I68" s="15"/>
      <c r="N68" s="15" t="s">
        <v>497</v>
      </c>
      <c r="O68" s="59">
        <f>M25</f>
        <v>136250</v>
      </c>
    </row>
    <row r="69" spans="1:15" x14ac:dyDescent="0.25">
      <c r="A69" s="15" t="s">
        <v>166</v>
      </c>
      <c r="N69" s="15" t="s">
        <v>134</v>
      </c>
      <c r="O69" s="59">
        <f>N25</f>
        <v>61000</v>
      </c>
    </row>
    <row r="70" spans="1:15" x14ac:dyDescent="0.25">
      <c r="F70" s="51"/>
      <c r="G70" s="67" t="s">
        <v>497</v>
      </c>
      <c r="H70" s="67"/>
      <c r="I70" s="51"/>
      <c r="N70" s="15" t="s">
        <v>500</v>
      </c>
      <c r="O70" s="15">
        <f>P25</f>
        <v>9500</v>
      </c>
    </row>
    <row r="71" spans="1:15" x14ac:dyDescent="0.25">
      <c r="F71" s="52" t="s">
        <v>457</v>
      </c>
      <c r="G71" s="53">
        <v>6250</v>
      </c>
      <c r="H71" s="1" t="s">
        <v>354</v>
      </c>
      <c r="I71" s="1">
        <v>142500</v>
      </c>
      <c r="N71" s="16" t="s">
        <v>512</v>
      </c>
      <c r="O71" s="69">
        <f>SUM(O65:O70)</f>
        <v>422500</v>
      </c>
    </row>
    <row r="72" spans="1:15" x14ac:dyDescent="0.25">
      <c r="F72" s="54"/>
      <c r="G72" s="55"/>
    </row>
    <row r="73" spans="1:15" x14ac:dyDescent="0.25">
      <c r="F73" s="54" t="s">
        <v>358</v>
      </c>
      <c r="G73" s="1">
        <f>142500-6250</f>
        <v>136250</v>
      </c>
      <c r="N73" s="16" t="s">
        <v>513</v>
      </c>
    </row>
    <row r="74" spans="1:15" ht="16.5" thickBot="1" x14ac:dyDescent="0.3">
      <c r="F74" s="54"/>
      <c r="G74" s="58">
        <f>SUM(G71:G73)</f>
        <v>142500</v>
      </c>
      <c r="H74" s="19"/>
      <c r="I74" s="4">
        <f>SUM(I71:I73)</f>
        <v>142500</v>
      </c>
      <c r="N74" s="15" t="s">
        <v>140</v>
      </c>
      <c r="O74" s="59">
        <f>C33</f>
        <v>37500</v>
      </c>
    </row>
    <row r="75" spans="1:15" ht="16.5" thickTop="1" x14ac:dyDescent="0.25">
      <c r="N75" s="15" t="s">
        <v>468</v>
      </c>
      <c r="O75" s="15">
        <v>4250</v>
      </c>
    </row>
    <row r="76" spans="1:15" x14ac:dyDescent="0.25">
      <c r="N76" s="16" t="s">
        <v>443</v>
      </c>
    </row>
    <row r="77" spans="1:15" x14ac:dyDescent="0.25">
      <c r="G77" s="55"/>
      <c r="N77" s="15" t="s">
        <v>444</v>
      </c>
      <c r="O77" s="59">
        <f>C34</f>
        <v>108500</v>
      </c>
    </row>
    <row r="78" spans="1:15" x14ac:dyDescent="0.25">
      <c r="N78" s="15" t="s">
        <v>514</v>
      </c>
      <c r="O78" s="59">
        <f>L61</f>
        <v>7000</v>
      </c>
    </row>
    <row r="79" spans="1:15" x14ac:dyDescent="0.25">
      <c r="N79" s="15" t="s">
        <v>249</v>
      </c>
      <c r="O79" s="15">
        <f>3000-1500</f>
        <v>1500</v>
      </c>
    </row>
    <row r="81" spans="14:15" x14ac:dyDescent="0.25">
      <c r="N81" s="16" t="s">
        <v>515</v>
      </c>
      <c r="O81" s="69">
        <f>SUM(O74:O80)</f>
        <v>158750</v>
      </c>
    </row>
    <row r="82" spans="14:15" ht="21" thickBot="1" x14ac:dyDescent="0.35">
      <c r="N82" s="68" t="s">
        <v>447</v>
      </c>
      <c r="O82" s="70">
        <f>SUM(O81,O71)</f>
        <v>581250</v>
      </c>
    </row>
    <row r="83" spans="14:15" ht="16.5" thickTop="1" x14ac:dyDescent="0.25"/>
    <row r="84" spans="14:15" x14ac:dyDescent="0.25">
      <c r="N84" s="15" t="s">
        <v>516</v>
      </c>
      <c r="O84" s="59">
        <f>O82-O61</f>
        <v>0</v>
      </c>
    </row>
  </sheetData>
  <mergeCells count="6">
    <mergeCell ref="G70:H70"/>
    <mergeCell ref="F31:I31"/>
    <mergeCell ref="G40:H40"/>
    <mergeCell ref="G48:H48"/>
    <mergeCell ref="G55:H55"/>
    <mergeCell ref="G62:H6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RHINO LIMITED</vt:lpstr>
      <vt:lpstr>BELLA OMARI</vt:lpstr>
      <vt:lpstr>INCOMPLETE RECORDS-ANGELA</vt:lpstr>
      <vt:lpstr>PUBLISHED ACCOUNTS FARMLAND LTD</vt:lpstr>
      <vt:lpstr>PUBLISHED ACCOUNTS-LAKERS LTD</vt:lpstr>
      <vt:lpstr>INCOME STATEMENTS-HIBISCUS LTD</vt:lpstr>
      <vt:lpstr>PUBLISHED FS-SALAMA LTD</vt:lpstr>
      <vt:lpstr>GALA LIMITED-FS</vt:lpstr>
      <vt:lpstr>BDA DECEMBER 2023 Q21 </vt:lpstr>
      <vt:lpstr>BDA APRIL 2024 Q24-INCOMPLETE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OMONDI OTIENO</dc:creator>
  <cp:lastModifiedBy>CPA CLINTON</cp:lastModifiedBy>
  <cp:lastPrinted>2025-06-02T18:11:55Z</cp:lastPrinted>
  <dcterms:created xsi:type="dcterms:W3CDTF">2024-08-29T15:20:29Z</dcterms:created>
  <dcterms:modified xsi:type="dcterms:W3CDTF">2025-06-03T19:03:03Z</dcterms:modified>
</cp:coreProperties>
</file>