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804971FA-C161-479A-AEAE-7FE88AADC601}" xr6:coauthVersionLast="47" xr6:coauthVersionMax="47" xr10:uidLastSave="{00000000-0000-0000-0000-000000000000}"/>
  <bookViews>
    <workbookView xWindow="-110" yWindow="-110" windowWidth="19420" windowHeight="10300" firstSheet="8" activeTab="10" xr2:uid="{77C65A57-D176-437F-9BB8-417FD66F4302}"/>
  </bookViews>
  <sheets>
    <sheet name="Furaha" sheetId="10" r:id="rId1"/>
    <sheet name="RATIOS Q1" sheetId="1" r:id="rId2"/>
    <sheet name="Super cars Limited" sheetId="2" r:id="rId3"/>
    <sheet name="Utajiri Limited" sheetId="5" r:id="rId4"/>
    <sheet name="BDA PILOT DECEMBER 2022 Q21" sheetId="21" r:id="rId5"/>
    <sheet name="BDA PILOT DECEMBER 2022 Q22" sheetId="6" r:id="rId6"/>
    <sheet name="BDA DECEMBER 2022 Q21" sheetId="11" r:id="rId7"/>
    <sheet name="BDA AUGUST 2023 Q21" sheetId="22" r:id="rId8"/>
    <sheet name="FMDA APRIL 2024 Q21" sheetId="8" r:id="rId9"/>
    <sheet name="FMDA APRIL 2023 Q22" sheetId="9" r:id="rId10"/>
    <sheet name="BDA APRIL 2024 Q21" sheetId="12" r:id="rId11"/>
    <sheet name="BDA APRIL 2024 Q22" sheetId="13" r:id="rId12"/>
    <sheet name="BDA DECEMBER 2024 Q21" sheetId="17" r:id="rId13"/>
    <sheet name="BDA APRIL 2024 Q24" sheetId="20" r:id="rId14"/>
    <sheet name="BDA APRIL 2025 Q21" sheetId="18" r:id="rId15"/>
    <sheet name="FMDA APRIL 2025 Q21" sheetId="19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6" i="22" l="1"/>
  <c r="M86" i="22"/>
  <c r="N86" i="22"/>
  <c r="O86" i="22"/>
  <c r="P86" i="22"/>
  <c r="Q86" i="22"/>
  <c r="L87" i="22"/>
  <c r="M87" i="22"/>
  <c r="N87" i="22"/>
  <c r="O87" i="22"/>
  <c r="P87" i="22"/>
  <c r="Q87" i="22"/>
  <c r="L88" i="22"/>
  <c r="M88" i="22"/>
  <c r="N88" i="22"/>
  <c r="O88" i="22"/>
  <c r="P88" i="22"/>
  <c r="Q88" i="22"/>
  <c r="L89" i="22"/>
  <c r="M89" i="22"/>
  <c r="N89" i="22"/>
  <c r="O89" i="22"/>
  <c r="P89" i="22"/>
  <c r="Q89" i="22"/>
  <c r="L90" i="22"/>
  <c r="M90" i="22"/>
  <c r="N90" i="22"/>
  <c r="O90" i="22"/>
  <c r="P90" i="22"/>
  <c r="Q90" i="22"/>
  <c r="L91" i="22"/>
  <c r="M91" i="22"/>
  <c r="N91" i="22"/>
  <c r="O91" i="22"/>
  <c r="P91" i="22"/>
  <c r="Q91" i="22"/>
  <c r="K91" i="22"/>
  <c r="K90" i="22"/>
  <c r="K89" i="22"/>
  <c r="K88" i="22"/>
  <c r="K87" i="22"/>
  <c r="K86" i="22"/>
  <c r="C200" i="22"/>
  <c r="D200" i="22"/>
  <c r="E200" i="22"/>
  <c r="F200" i="22"/>
  <c r="G200" i="22"/>
  <c r="B200" i="22"/>
  <c r="C177" i="22"/>
  <c r="D177" i="22"/>
  <c r="E177" i="22"/>
  <c r="F177" i="22"/>
  <c r="G177" i="22"/>
  <c r="B177" i="22"/>
  <c r="B156" i="22"/>
  <c r="C156" i="22"/>
  <c r="D156" i="22"/>
  <c r="E156" i="22"/>
  <c r="F156" i="22"/>
  <c r="G156" i="22"/>
  <c r="A156" i="22"/>
  <c r="B132" i="22"/>
  <c r="C132" i="22"/>
  <c r="D132" i="22"/>
  <c r="E132" i="22"/>
  <c r="F132" i="22"/>
  <c r="G132" i="22"/>
  <c r="A132" i="22"/>
  <c r="B108" i="22"/>
  <c r="C108" i="22"/>
  <c r="D108" i="22"/>
  <c r="E108" i="22"/>
  <c r="F108" i="22"/>
  <c r="G108" i="22"/>
  <c r="A108" i="22"/>
  <c r="C86" i="22"/>
  <c r="D86" i="22"/>
  <c r="E86" i="22"/>
  <c r="F86" i="22"/>
  <c r="G86" i="22"/>
  <c r="B86" i="22"/>
  <c r="G19" i="22"/>
  <c r="C49" i="22"/>
  <c r="B49" i="22"/>
  <c r="B55" i="22" s="1"/>
  <c r="C53" i="22"/>
  <c r="D53" i="22"/>
  <c r="E53" i="22"/>
  <c r="F53" i="22"/>
  <c r="G53" i="22"/>
  <c r="B53" i="22"/>
  <c r="L23" i="22"/>
  <c r="O23" i="22" s="1"/>
  <c r="D19" i="22"/>
  <c r="C52" i="22"/>
  <c r="D52" i="22" s="1"/>
  <c r="C36" i="22"/>
  <c r="D36" i="22" s="1"/>
  <c r="C37" i="22"/>
  <c r="D37" i="22" s="1"/>
  <c r="E37" i="22" s="1"/>
  <c r="F37" i="22" s="1"/>
  <c r="G37" i="22" s="1"/>
  <c r="C38" i="22"/>
  <c r="D38" i="22" s="1"/>
  <c r="E38" i="22" s="1"/>
  <c r="F38" i="22" s="1"/>
  <c r="G38" i="22" s="1"/>
  <c r="C33" i="22"/>
  <c r="C15" i="22"/>
  <c r="D15" i="22" s="1"/>
  <c r="E15" i="22" s="1"/>
  <c r="F15" i="22" s="1"/>
  <c r="G15" i="22" s="1"/>
  <c r="C17" i="22"/>
  <c r="D17" i="22" s="1"/>
  <c r="E17" i="22" s="1"/>
  <c r="F17" i="22" s="1"/>
  <c r="G17" i="22" s="1"/>
  <c r="C18" i="22"/>
  <c r="D18" i="22" s="1"/>
  <c r="E18" i="22" s="1"/>
  <c r="F18" i="22" s="1"/>
  <c r="G18" i="22" s="1"/>
  <c r="D14" i="22"/>
  <c r="E14" i="22" s="1"/>
  <c r="C14" i="22"/>
  <c r="B39" i="22"/>
  <c r="B40" i="22" s="1"/>
  <c r="B16" i="22"/>
  <c r="B20" i="22" s="1"/>
  <c r="B22" i="22" s="1"/>
  <c r="B24" i="22" s="1"/>
  <c r="B26" i="22" s="1"/>
  <c r="J103" i="9"/>
  <c r="J102" i="9"/>
  <c r="I103" i="9"/>
  <c r="I102" i="9"/>
  <c r="H103" i="9"/>
  <c r="H102" i="9"/>
  <c r="G103" i="9"/>
  <c r="F103" i="9"/>
  <c r="G102" i="9" s="1"/>
  <c r="G101" i="9"/>
  <c r="H101" i="9"/>
  <c r="I101" i="9"/>
  <c r="J101" i="9"/>
  <c r="F101" i="9"/>
  <c r="G96" i="9"/>
  <c r="G99" i="9" s="1"/>
  <c r="H96" i="9"/>
  <c r="H99" i="9" s="1"/>
  <c r="I96" i="9"/>
  <c r="J96" i="9"/>
  <c r="F96" i="9"/>
  <c r="F99" i="9" s="1"/>
  <c r="I99" i="9"/>
  <c r="J99" i="9"/>
  <c r="G93" i="9"/>
  <c r="H93" i="9"/>
  <c r="I93" i="9"/>
  <c r="J93" i="9"/>
  <c r="F93" i="9"/>
  <c r="E79" i="9"/>
  <c r="E78" i="9"/>
  <c r="F47" i="9"/>
  <c r="G47" i="9"/>
  <c r="H47" i="9"/>
  <c r="I47" i="9"/>
  <c r="J47" i="9"/>
  <c r="E47" i="9"/>
  <c r="F53" i="9"/>
  <c r="G53" i="9"/>
  <c r="H53" i="9"/>
  <c r="I53" i="9"/>
  <c r="J53" i="9"/>
  <c r="E53" i="9"/>
  <c r="E30" i="9"/>
  <c r="E122" i="9"/>
  <c r="E121" i="9"/>
  <c r="E133" i="9" s="1"/>
  <c r="E29" i="9"/>
  <c r="E114" i="9"/>
  <c r="E116" i="9" s="1"/>
  <c r="F112" i="9" s="1"/>
  <c r="F114" i="9" s="1"/>
  <c r="F115" i="9" s="1"/>
  <c r="F28" i="9"/>
  <c r="G28" i="9"/>
  <c r="H28" i="9"/>
  <c r="I28" i="9"/>
  <c r="J28" i="9"/>
  <c r="E28" i="9"/>
  <c r="F23" i="9"/>
  <c r="F24" i="9" s="1"/>
  <c r="F25" i="9" s="1"/>
  <c r="E23" i="9"/>
  <c r="E45" i="9" s="1"/>
  <c r="F21" i="9"/>
  <c r="G21" i="9"/>
  <c r="H21" i="9"/>
  <c r="I21" i="9"/>
  <c r="J21" i="9"/>
  <c r="F22" i="9"/>
  <c r="G22" i="9"/>
  <c r="H22" i="9"/>
  <c r="I22" i="9"/>
  <c r="J22" i="9"/>
  <c r="E22" i="9"/>
  <c r="E21" i="9"/>
  <c r="G7" i="9"/>
  <c r="H7" i="9"/>
  <c r="I7" i="9"/>
  <c r="J7" i="9"/>
  <c r="F7" i="9"/>
  <c r="G5" i="9"/>
  <c r="G23" i="9" s="1"/>
  <c r="G45" i="9" s="1"/>
  <c r="F8" i="11"/>
  <c r="T14" i="11"/>
  <c r="S14" i="11"/>
  <c r="Q14" i="11"/>
  <c r="R14" i="11"/>
  <c r="P14" i="11"/>
  <c r="G18" i="11"/>
  <c r="H18" i="11" s="1"/>
  <c r="I18" i="11" s="1"/>
  <c r="J18" i="11" s="1"/>
  <c r="F18" i="11"/>
  <c r="Q26" i="11"/>
  <c r="P28" i="11" s="1"/>
  <c r="O31" i="11" s="1"/>
  <c r="N26" i="11" s="1"/>
  <c r="C19" i="11"/>
  <c r="E13" i="11"/>
  <c r="Q20" i="11"/>
  <c r="R20" i="11"/>
  <c r="S20" i="11"/>
  <c r="T20" i="11"/>
  <c r="P20" i="11"/>
  <c r="P19" i="11"/>
  <c r="T19" i="11" s="1"/>
  <c r="Q18" i="11"/>
  <c r="R18" i="11"/>
  <c r="S18" i="11"/>
  <c r="T18" i="11"/>
  <c r="P18" i="11"/>
  <c r="B35" i="11"/>
  <c r="C33" i="11"/>
  <c r="C35" i="11" s="1"/>
  <c r="D33" i="11"/>
  <c r="D35" i="11" s="1"/>
  <c r="E33" i="11"/>
  <c r="B33" i="11"/>
  <c r="C32" i="11"/>
  <c r="D32" i="11"/>
  <c r="E32" i="11"/>
  <c r="B32" i="11"/>
  <c r="E28" i="11"/>
  <c r="P8" i="11" s="1"/>
  <c r="D26" i="11"/>
  <c r="E26" i="11"/>
  <c r="C26" i="11"/>
  <c r="C13" i="11"/>
  <c r="C15" i="11" s="1"/>
  <c r="C17" i="11" s="1"/>
  <c r="D13" i="11"/>
  <c r="D15" i="11" s="1"/>
  <c r="D17" i="11" s="1"/>
  <c r="E30" i="11"/>
  <c r="B13" i="11"/>
  <c r="B15" i="11" s="1"/>
  <c r="B17" i="11" s="1"/>
  <c r="B19" i="11" s="1"/>
  <c r="L69" i="21"/>
  <c r="L68" i="21"/>
  <c r="L67" i="21"/>
  <c r="L66" i="21"/>
  <c r="L65" i="21"/>
  <c r="L64" i="21"/>
  <c r="L63" i="21"/>
  <c r="K65" i="21"/>
  <c r="K64" i="21"/>
  <c r="K63" i="21"/>
  <c r="W36" i="21"/>
  <c r="X36" i="21"/>
  <c r="Y36" i="21"/>
  <c r="W37" i="21"/>
  <c r="X37" i="21"/>
  <c r="Y37" i="21"/>
  <c r="W38" i="21"/>
  <c r="X38" i="21"/>
  <c r="Y38" i="21"/>
  <c r="V38" i="21"/>
  <c r="V37" i="21"/>
  <c r="V36" i="21"/>
  <c r="M36" i="21"/>
  <c r="N36" i="21"/>
  <c r="O36" i="21"/>
  <c r="M37" i="21"/>
  <c r="N37" i="21"/>
  <c r="O37" i="21"/>
  <c r="M38" i="21"/>
  <c r="N38" i="21"/>
  <c r="O38" i="21"/>
  <c r="L36" i="21"/>
  <c r="L38" i="21"/>
  <c r="L37" i="21"/>
  <c r="B38" i="21"/>
  <c r="B37" i="21"/>
  <c r="B36" i="21"/>
  <c r="W15" i="21"/>
  <c r="W17" i="21"/>
  <c r="X17" i="21" s="1"/>
  <c r="Y17" i="21" s="1"/>
  <c r="W19" i="21"/>
  <c r="X19" i="21" s="1"/>
  <c r="Y19" i="21" s="1"/>
  <c r="W20" i="21"/>
  <c r="X20" i="21" s="1"/>
  <c r="Y20" i="21" s="1"/>
  <c r="W22" i="21"/>
  <c r="X22" i="21" s="1"/>
  <c r="Y22" i="21" s="1"/>
  <c r="W24" i="21"/>
  <c r="X24" i="21" s="1"/>
  <c r="Y24" i="21" s="1"/>
  <c r="W28" i="21"/>
  <c r="X28" i="21" s="1"/>
  <c r="Y28" i="21" s="1"/>
  <c r="W34" i="21"/>
  <c r="X34" i="21" s="1"/>
  <c r="Y34" i="21" s="1"/>
  <c r="W14" i="21"/>
  <c r="X14" i="21" s="1"/>
  <c r="V16" i="21"/>
  <c r="V18" i="21" s="1"/>
  <c r="V21" i="21" s="1"/>
  <c r="V23" i="21" s="1"/>
  <c r="V25" i="21" s="1"/>
  <c r="V27" i="21" s="1"/>
  <c r="V29" i="21" s="1"/>
  <c r="V31" i="21" s="1"/>
  <c r="M15" i="21"/>
  <c r="N15" i="21" s="1"/>
  <c r="O15" i="21" s="1"/>
  <c r="M17" i="21"/>
  <c r="N17" i="21" s="1"/>
  <c r="O17" i="21" s="1"/>
  <c r="M19" i="21"/>
  <c r="N19" i="21" s="1"/>
  <c r="O19" i="21" s="1"/>
  <c r="M20" i="21"/>
  <c r="N20" i="21" s="1"/>
  <c r="O20" i="21" s="1"/>
  <c r="M22" i="21"/>
  <c r="N22" i="21" s="1"/>
  <c r="O22" i="21" s="1"/>
  <c r="M24" i="21"/>
  <c r="N24" i="21" s="1"/>
  <c r="O24" i="21" s="1"/>
  <c r="M28" i="21"/>
  <c r="N28" i="21" s="1"/>
  <c r="O28" i="21" s="1"/>
  <c r="M34" i="21"/>
  <c r="N34" i="21" s="1"/>
  <c r="O34" i="21" s="1"/>
  <c r="M14" i="21"/>
  <c r="N14" i="21" s="1"/>
  <c r="L16" i="21"/>
  <c r="L18" i="21" s="1"/>
  <c r="L21" i="21" s="1"/>
  <c r="L23" i="21" s="1"/>
  <c r="L25" i="21" s="1"/>
  <c r="L27" i="21" s="1"/>
  <c r="L29" i="21" s="1"/>
  <c r="L31" i="21" s="1"/>
  <c r="B16" i="21"/>
  <c r="B18" i="21" s="1"/>
  <c r="B21" i="21" s="1"/>
  <c r="B23" i="21" s="1"/>
  <c r="C32" i="21"/>
  <c r="D32" i="21" s="1"/>
  <c r="E32" i="21" s="1"/>
  <c r="C15" i="21"/>
  <c r="D15" i="21" s="1"/>
  <c r="E15" i="21" s="1"/>
  <c r="C17" i="21"/>
  <c r="D17" i="21" s="1"/>
  <c r="E17" i="21" s="1"/>
  <c r="C19" i="21"/>
  <c r="D19" i="21" s="1"/>
  <c r="E19" i="21" s="1"/>
  <c r="C20" i="21"/>
  <c r="D20" i="21" s="1"/>
  <c r="E20" i="21" s="1"/>
  <c r="C22" i="21"/>
  <c r="D22" i="21" s="1"/>
  <c r="E22" i="21" s="1"/>
  <c r="C24" i="21"/>
  <c r="D24" i="21" s="1"/>
  <c r="E24" i="21" s="1"/>
  <c r="C28" i="21"/>
  <c r="D28" i="21" s="1"/>
  <c r="E28" i="21" s="1"/>
  <c r="C34" i="21"/>
  <c r="D34" i="21" s="1"/>
  <c r="E34" i="21" s="1"/>
  <c r="C14" i="21"/>
  <c r="M63" i="21" s="1"/>
  <c r="E36" i="22" l="1"/>
  <c r="D39" i="22"/>
  <c r="E52" i="22"/>
  <c r="B46" i="22"/>
  <c r="B47" i="22" s="1"/>
  <c r="C25" i="22"/>
  <c r="E16" i="22"/>
  <c r="D16" i="22"/>
  <c r="D20" i="22" s="1"/>
  <c r="C16" i="22"/>
  <c r="C39" i="22"/>
  <c r="C40" i="22" s="1"/>
  <c r="N23" i="22"/>
  <c r="D33" i="22"/>
  <c r="F14" i="22"/>
  <c r="F16" i="22" s="1"/>
  <c r="J130" i="9"/>
  <c r="F46" i="9"/>
  <c r="F63" i="9"/>
  <c r="E60" i="9"/>
  <c r="F129" i="9"/>
  <c r="F131" i="9" s="1"/>
  <c r="F130" i="9"/>
  <c r="E126" i="9"/>
  <c r="H130" i="9"/>
  <c r="F45" i="9"/>
  <c r="G82" i="9" s="1"/>
  <c r="I130" i="9"/>
  <c r="G130" i="9"/>
  <c r="E42" i="9"/>
  <c r="F27" i="9"/>
  <c r="G24" i="9"/>
  <c r="G27" i="9"/>
  <c r="E24" i="9"/>
  <c r="H5" i="9"/>
  <c r="E27" i="9"/>
  <c r="F29" i="9"/>
  <c r="F78" i="9" s="1"/>
  <c r="F11" i="11"/>
  <c r="F16" i="11" s="1"/>
  <c r="D19" i="11"/>
  <c r="D21" i="11" s="1"/>
  <c r="R19" i="11"/>
  <c r="S19" i="11"/>
  <c r="E35" i="11"/>
  <c r="C21" i="11"/>
  <c r="B21" i="11"/>
  <c r="B23" i="11" s="1"/>
  <c r="C22" i="11" s="1"/>
  <c r="C23" i="11" s="1"/>
  <c r="D22" i="11" s="1"/>
  <c r="P15" i="11"/>
  <c r="Q15" i="11" s="1"/>
  <c r="Q19" i="11"/>
  <c r="P7" i="11"/>
  <c r="Q8" i="11"/>
  <c r="P9" i="11"/>
  <c r="E15" i="11"/>
  <c r="E17" i="11" s="1"/>
  <c r="B30" i="11"/>
  <c r="B29" i="11"/>
  <c r="D30" i="11"/>
  <c r="C29" i="11"/>
  <c r="C30" i="11"/>
  <c r="W16" i="21"/>
  <c r="W18" i="21" s="1"/>
  <c r="W21" i="21" s="1"/>
  <c r="W23" i="21" s="1"/>
  <c r="W25" i="21" s="1"/>
  <c r="W26" i="21" s="1"/>
  <c r="W27" i="21" s="1"/>
  <c r="W29" i="21" s="1"/>
  <c r="Y14" i="21"/>
  <c r="W30" i="21"/>
  <c r="V33" i="21"/>
  <c r="X15" i="21"/>
  <c r="Y15" i="21" s="1"/>
  <c r="M30" i="21"/>
  <c r="L33" i="21"/>
  <c r="O14" i="21"/>
  <c r="O16" i="21" s="1"/>
  <c r="O18" i="21" s="1"/>
  <c r="O21" i="21" s="1"/>
  <c r="O23" i="21" s="1"/>
  <c r="O25" i="21" s="1"/>
  <c r="O26" i="21" s="1"/>
  <c r="N16" i="21"/>
  <c r="N18" i="21" s="1"/>
  <c r="N21" i="21" s="1"/>
  <c r="N23" i="21" s="1"/>
  <c r="N25" i="21" s="1"/>
  <c r="N26" i="21" s="1"/>
  <c r="M16" i="21"/>
  <c r="M18" i="21" s="1"/>
  <c r="M21" i="21" s="1"/>
  <c r="M23" i="21" s="1"/>
  <c r="M25" i="21" s="1"/>
  <c r="C16" i="21"/>
  <c r="B25" i="21"/>
  <c r="B27" i="21" s="1"/>
  <c r="B29" i="21" s="1"/>
  <c r="B31" i="21" s="1"/>
  <c r="C30" i="21" s="1"/>
  <c r="D14" i="21"/>
  <c r="E18" i="6"/>
  <c r="D21" i="6"/>
  <c r="C21" i="6"/>
  <c r="D20" i="6" s="1"/>
  <c r="H20" i="6" s="1"/>
  <c r="C20" i="6"/>
  <c r="E15" i="6"/>
  <c r="E17" i="6" s="1"/>
  <c r="E19" i="6" s="1"/>
  <c r="E13" i="6"/>
  <c r="E11" i="6"/>
  <c r="E12" i="6"/>
  <c r="E10" i="6"/>
  <c r="E9" i="6"/>
  <c r="F5" i="6"/>
  <c r="D26" i="6"/>
  <c r="H43" i="6"/>
  <c r="H37" i="6"/>
  <c r="H40" i="6"/>
  <c r="H34" i="6"/>
  <c r="H32" i="6"/>
  <c r="H31" i="6"/>
  <c r="C24" i="6"/>
  <c r="D24" i="6"/>
  <c r="H10" i="6"/>
  <c r="H11" i="6"/>
  <c r="H12" i="6"/>
  <c r="H13" i="6"/>
  <c r="H14" i="6"/>
  <c r="H15" i="6"/>
  <c r="H16" i="6"/>
  <c r="H17" i="6"/>
  <c r="H18" i="6"/>
  <c r="H19" i="6"/>
  <c r="H9" i="6"/>
  <c r="N9" i="6"/>
  <c r="M9" i="6"/>
  <c r="L9" i="6"/>
  <c r="J35" i="17"/>
  <c r="I35" i="17"/>
  <c r="J33" i="17"/>
  <c r="I33" i="17"/>
  <c r="E34" i="17"/>
  <c r="F34" i="17"/>
  <c r="E35" i="17"/>
  <c r="F35" i="17"/>
  <c r="E36" i="17"/>
  <c r="F36" i="17"/>
  <c r="E38" i="17"/>
  <c r="F38" i="17"/>
  <c r="E39" i="17"/>
  <c r="F39" i="17"/>
  <c r="E40" i="17"/>
  <c r="F40" i="17"/>
  <c r="E41" i="17"/>
  <c r="F41" i="17"/>
  <c r="E44" i="17"/>
  <c r="F44" i="17"/>
  <c r="E45" i="17"/>
  <c r="F45" i="17"/>
  <c r="E46" i="17"/>
  <c r="F46" i="17"/>
  <c r="E47" i="17"/>
  <c r="F47" i="17"/>
  <c r="E49" i="17"/>
  <c r="F49" i="17"/>
  <c r="E50" i="17"/>
  <c r="F50" i="17"/>
  <c r="E52" i="17"/>
  <c r="F52" i="17"/>
  <c r="E53" i="17"/>
  <c r="F53" i="17"/>
  <c r="E54" i="17"/>
  <c r="F54" i="17"/>
  <c r="E55" i="17"/>
  <c r="F55" i="17"/>
  <c r="F33" i="17"/>
  <c r="E33" i="17"/>
  <c r="E18" i="17"/>
  <c r="F18" i="17"/>
  <c r="E19" i="17"/>
  <c r="F19" i="17"/>
  <c r="E20" i="17"/>
  <c r="F20" i="17"/>
  <c r="E21" i="17"/>
  <c r="F21" i="17"/>
  <c r="E22" i="17"/>
  <c r="F22" i="17"/>
  <c r="E23" i="17"/>
  <c r="F23" i="17"/>
  <c r="E24" i="17"/>
  <c r="F24" i="17"/>
  <c r="E25" i="17"/>
  <c r="F25" i="17"/>
  <c r="E26" i="17"/>
  <c r="F26" i="17"/>
  <c r="F17" i="17"/>
  <c r="E17" i="17"/>
  <c r="O10" i="6"/>
  <c r="P10" i="6"/>
  <c r="Q10" i="6"/>
  <c r="N10" i="6" s="1"/>
  <c r="N11" i="6" s="1"/>
  <c r="O12" i="6"/>
  <c r="L12" i="6" s="1"/>
  <c r="P12" i="6"/>
  <c r="Q12" i="6"/>
  <c r="N12" i="6" s="1"/>
  <c r="O14" i="6"/>
  <c r="P14" i="6"/>
  <c r="Q14" i="6"/>
  <c r="N14" i="6" s="1"/>
  <c r="O16" i="6"/>
  <c r="L16" i="6" s="1"/>
  <c r="P16" i="6"/>
  <c r="M16" i="6" s="1"/>
  <c r="Q16" i="6"/>
  <c r="N16" i="6" s="1"/>
  <c r="O18" i="6"/>
  <c r="P18" i="6"/>
  <c r="Q18" i="6"/>
  <c r="Q9" i="6"/>
  <c r="P9" i="6"/>
  <c r="O9" i="6"/>
  <c r="C49" i="6"/>
  <c r="D49" i="6"/>
  <c r="C45" i="6"/>
  <c r="D45" i="6"/>
  <c r="B45" i="6"/>
  <c r="C37" i="6"/>
  <c r="C38" i="6" s="1"/>
  <c r="P34" i="6" s="1"/>
  <c r="D37" i="6"/>
  <c r="D38" i="6" s="1"/>
  <c r="Q41" i="6" s="1"/>
  <c r="B37" i="6"/>
  <c r="B38" i="6" s="1"/>
  <c r="O43" i="6" s="1"/>
  <c r="C11" i="6"/>
  <c r="C13" i="6" s="1"/>
  <c r="C15" i="6" s="1"/>
  <c r="C17" i="6" s="1"/>
  <c r="C19" i="6" s="1"/>
  <c r="P19" i="6" s="1"/>
  <c r="D11" i="6"/>
  <c r="D13" i="6" s="1"/>
  <c r="D15" i="6" s="1"/>
  <c r="D17" i="6" s="1"/>
  <c r="D19" i="6" s="1"/>
  <c r="Q19" i="6" s="1"/>
  <c r="B11" i="6"/>
  <c r="B13" i="6" s="1"/>
  <c r="B15" i="6" s="1"/>
  <c r="B17" i="6" s="1"/>
  <c r="B19" i="6" s="1"/>
  <c r="O19" i="6" s="1"/>
  <c r="J39" i="10"/>
  <c r="J42" i="10" s="1"/>
  <c r="J37" i="10"/>
  <c r="J34" i="10"/>
  <c r="J31" i="10"/>
  <c r="J29" i="10"/>
  <c r="J23" i="10"/>
  <c r="J21" i="10"/>
  <c r="J20" i="10"/>
  <c r="J19" i="10"/>
  <c r="J16" i="10"/>
  <c r="I29" i="10"/>
  <c r="J11" i="10"/>
  <c r="J9" i="10"/>
  <c r="J8" i="10"/>
  <c r="J7" i="10"/>
  <c r="J6" i="10"/>
  <c r="J5" i="10"/>
  <c r="J4" i="10"/>
  <c r="J3" i="10"/>
  <c r="F76" i="10"/>
  <c r="F70" i="10"/>
  <c r="F71" i="10" s="1"/>
  <c r="F66" i="10"/>
  <c r="F64" i="10"/>
  <c r="F61" i="10"/>
  <c r="F54" i="10"/>
  <c r="F55" i="10"/>
  <c r="F52" i="10"/>
  <c r="F50" i="10"/>
  <c r="F43" i="10"/>
  <c r="F45" i="10"/>
  <c r="F38" i="10"/>
  <c r="F33" i="10"/>
  <c r="F25" i="10"/>
  <c r="F20" i="10"/>
  <c r="F27" i="10" s="1"/>
  <c r="B36" i="5"/>
  <c r="E39" i="2"/>
  <c r="E46" i="2" s="1"/>
  <c r="E34" i="2"/>
  <c r="D21" i="22" l="1"/>
  <c r="D22" i="22" s="1"/>
  <c r="E33" i="22"/>
  <c r="D40" i="22"/>
  <c r="F52" i="22"/>
  <c r="F36" i="22"/>
  <c r="E39" i="22"/>
  <c r="G14" i="22"/>
  <c r="G16" i="22" s="1"/>
  <c r="F82" i="9"/>
  <c r="F132" i="9"/>
  <c r="G25" i="9"/>
  <c r="G46" i="9"/>
  <c r="G63" i="9"/>
  <c r="G84" i="9" s="1"/>
  <c r="F30" i="9"/>
  <c r="E25" i="9"/>
  <c r="E31" i="9" s="1"/>
  <c r="E76" i="9" s="1"/>
  <c r="E81" i="9" s="1"/>
  <c r="E63" i="9"/>
  <c r="E65" i="9" s="1"/>
  <c r="E46" i="9"/>
  <c r="F83" i="9" s="1"/>
  <c r="H23" i="9"/>
  <c r="H45" i="9" s="1"/>
  <c r="I5" i="9"/>
  <c r="F116" i="9"/>
  <c r="F14" i="11"/>
  <c r="D23" i="11"/>
  <c r="E22" i="11" s="1"/>
  <c r="P16" i="11"/>
  <c r="D29" i="11"/>
  <c r="E19" i="11"/>
  <c r="E21" i="11" s="1"/>
  <c r="G11" i="11"/>
  <c r="R15" i="11"/>
  <c r="Q16" i="11"/>
  <c r="P17" i="11"/>
  <c r="Q9" i="11"/>
  <c r="Q7" i="11"/>
  <c r="R8" i="11"/>
  <c r="E23" i="11"/>
  <c r="F22" i="11" s="1"/>
  <c r="C18" i="21"/>
  <c r="M64" i="21"/>
  <c r="D16" i="21"/>
  <c r="N64" i="21" s="1"/>
  <c r="N63" i="21"/>
  <c r="W31" i="21"/>
  <c r="W33" i="21" s="1"/>
  <c r="M26" i="21"/>
  <c r="M27" i="21" s="1"/>
  <c r="M29" i="21" s="1"/>
  <c r="M31" i="21" s="1"/>
  <c r="X16" i="21"/>
  <c r="X18" i="21" s="1"/>
  <c r="X21" i="21" s="1"/>
  <c r="X23" i="21" s="1"/>
  <c r="X25" i="21" s="1"/>
  <c r="X26" i="21" s="1"/>
  <c r="X27" i="21" s="1"/>
  <c r="X29" i="21" s="1"/>
  <c r="Y16" i="21"/>
  <c r="Y18" i="21" s="1"/>
  <c r="Y21" i="21" s="1"/>
  <c r="Y23" i="21" s="1"/>
  <c r="Y25" i="21" s="1"/>
  <c r="Y26" i="21" s="1"/>
  <c r="Y27" i="21" s="1"/>
  <c r="Y29" i="21" s="1"/>
  <c r="O27" i="21"/>
  <c r="O29" i="21" s="1"/>
  <c r="N27" i="21"/>
  <c r="N29" i="21" s="1"/>
  <c r="B33" i="21"/>
  <c r="E14" i="21"/>
  <c r="O63" i="21" s="1"/>
  <c r="M14" i="6"/>
  <c r="L14" i="6"/>
  <c r="N13" i="6"/>
  <c r="N15" i="6" s="1"/>
  <c r="N17" i="6" s="1"/>
  <c r="B21" i="6"/>
  <c r="M12" i="6"/>
  <c r="L10" i="6"/>
  <c r="L11" i="6" s="1"/>
  <c r="L13" i="6" s="1"/>
  <c r="M10" i="6"/>
  <c r="M11" i="6" s="1"/>
  <c r="O17" i="6"/>
  <c r="O45" i="6"/>
  <c r="Q45" i="6"/>
  <c r="P45" i="6"/>
  <c r="O13" i="6"/>
  <c r="P49" i="6"/>
  <c r="O11" i="6"/>
  <c r="Q38" i="6"/>
  <c r="O37" i="6"/>
  <c r="P36" i="6"/>
  <c r="O41" i="6"/>
  <c r="O48" i="6"/>
  <c r="P17" i="6"/>
  <c r="Q32" i="6"/>
  <c r="Q36" i="6"/>
  <c r="P32" i="6"/>
  <c r="P15" i="6"/>
  <c r="P44" i="6"/>
  <c r="O36" i="6"/>
  <c r="P13" i="6"/>
  <c r="Q48" i="6"/>
  <c r="P41" i="6"/>
  <c r="P48" i="6"/>
  <c r="P38" i="6"/>
  <c r="Q11" i="6"/>
  <c r="P37" i="6"/>
  <c r="O32" i="6"/>
  <c r="Q15" i="6"/>
  <c r="Q44" i="6"/>
  <c r="O15" i="6"/>
  <c r="O44" i="6"/>
  <c r="Q35" i="6"/>
  <c r="O47" i="6"/>
  <c r="P11" i="6"/>
  <c r="Q43" i="6"/>
  <c r="P35" i="6"/>
  <c r="O34" i="6"/>
  <c r="Q17" i="6"/>
  <c r="P47" i="6"/>
  <c r="Q37" i="6"/>
  <c r="O35" i="6"/>
  <c r="Q47" i="6"/>
  <c r="O38" i="6"/>
  <c r="Q49" i="6"/>
  <c r="P43" i="6"/>
  <c r="Q34" i="6"/>
  <c r="Q13" i="6"/>
  <c r="D50" i="6"/>
  <c r="C50" i="6"/>
  <c r="F21" i="10"/>
  <c r="B54" i="18"/>
  <c r="B55" i="18" s="1"/>
  <c r="B41" i="18"/>
  <c r="B42" i="18" s="1"/>
  <c r="B16" i="18"/>
  <c r="B17" i="18" s="1"/>
  <c r="B14" i="18"/>
  <c r="D23" i="22" l="1"/>
  <c r="D24" i="22" s="1"/>
  <c r="F33" i="22"/>
  <c r="E40" i="22"/>
  <c r="G36" i="22"/>
  <c r="G39" i="22" s="1"/>
  <c r="F39" i="22"/>
  <c r="G52" i="22"/>
  <c r="H82" i="9"/>
  <c r="F84" i="9"/>
  <c r="F79" i="9"/>
  <c r="F87" i="9"/>
  <c r="G83" i="9"/>
  <c r="F31" i="9"/>
  <c r="F76" i="9" s="1"/>
  <c r="F81" i="9" s="1"/>
  <c r="F85" i="9" s="1"/>
  <c r="F133" i="9"/>
  <c r="G129" i="9" s="1"/>
  <c r="G131" i="9" s="1"/>
  <c r="G30" i="9" s="1"/>
  <c r="G112" i="9"/>
  <c r="G114" i="9" s="1"/>
  <c r="G115" i="9" s="1"/>
  <c r="G29" i="9" s="1"/>
  <c r="G78" i="9" s="1"/>
  <c r="F42" i="9"/>
  <c r="E32" i="9"/>
  <c r="I23" i="9"/>
  <c r="I45" i="9" s="1"/>
  <c r="J5" i="9"/>
  <c r="J23" i="9" s="1"/>
  <c r="J45" i="9" s="1"/>
  <c r="H27" i="9"/>
  <c r="H24" i="9"/>
  <c r="G16" i="11"/>
  <c r="G12" i="11"/>
  <c r="G13" i="11" s="1"/>
  <c r="G14" i="11"/>
  <c r="H11" i="11"/>
  <c r="F12" i="11"/>
  <c r="F13" i="11" s="1"/>
  <c r="F15" i="11" s="1"/>
  <c r="F17" i="11" s="1"/>
  <c r="F19" i="11" s="1"/>
  <c r="F20" i="11" s="1"/>
  <c r="F21" i="11" s="1"/>
  <c r="F23" i="11" s="1"/>
  <c r="G22" i="11" s="1"/>
  <c r="E29" i="11"/>
  <c r="Q17" i="11"/>
  <c r="S15" i="11"/>
  <c r="R16" i="11"/>
  <c r="S8" i="11"/>
  <c r="R9" i="11"/>
  <c r="R7" i="11"/>
  <c r="D18" i="21"/>
  <c r="D21" i="21"/>
  <c r="N65" i="21"/>
  <c r="C21" i="21"/>
  <c r="M65" i="21"/>
  <c r="X30" i="21"/>
  <c r="X31" i="21" s="1"/>
  <c r="N30" i="21"/>
  <c r="N31" i="21" s="1"/>
  <c r="N33" i="21" s="1"/>
  <c r="M33" i="21"/>
  <c r="E16" i="21"/>
  <c r="L20" i="6"/>
  <c r="E20" i="6"/>
  <c r="E21" i="6" s="1"/>
  <c r="H21" i="6"/>
  <c r="L15" i="6"/>
  <c r="L17" i="6" s="1"/>
  <c r="L18" i="6" s="1"/>
  <c r="L19" i="6" s="1"/>
  <c r="M13" i="6"/>
  <c r="M15" i="6" s="1"/>
  <c r="M17" i="6" s="1"/>
  <c r="M18" i="6" s="1"/>
  <c r="M19" i="6" s="1"/>
  <c r="N18" i="6"/>
  <c r="N19" i="6" s="1"/>
  <c r="C52" i="6"/>
  <c r="P50" i="6"/>
  <c r="D52" i="6"/>
  <c r="Q50" i="6"/>
  <c r="G33" i="22" l="1"/>
  <c r="G40" i="22" s="1"/>
  <c r="F40" i="22"/>
  <c r="J82" i="9"/>
  <c r="G79" i="9"/>
  <c r="G87" i="9"/>
  <c r="I82" i="9"/>
  <c r="F60" i="9"/>
  <c r="F65" i="9" s="1"/>
  <c r="G132" i="9"/>
  <c r="G133" i="9" s="1"/>
  <c r="H129" i="9" s="1"/>
  <c r="H131" i="9" s="1"/>
  <c r="H30" i="9" s="1"/>
  <c r="F32" i="9"/>
  <c r="F86" i="9" s="1"/>
  <c r="F88" i="9" s="1"/>
  <c r="E33" i="9"/>
  <c r="E35" i="9" s="1"/>
  <c r="F34" i="9" s="1"/>
  <c r="G31" i="9"/>
  <c r="G76" i="9" s="1"/>
  <c r="G81" i="9" s="1"/>
  <c r="G85" i="9" s="1"/>
  <c r="H46" i="9"/>
  <c r="H63" i="9"/>
  <c r="H84" i="9" s="1"/>
  <c r="G116" i="9"/>
  <c r="H25" i="9"/>
  <c r="J27" i="9"/>
  <c r="J24" i="9"/>
  <c r="I27" i="9"/>
  <c r="I24" i="9"/>
  <c r="G15" i="11"/>
  <c r="G17" i="11" s="1"/>
  <c r="G19" i="11" s="1"/>
  <c r="G20" i="11" s="1"/>
  <c r="G21" i="11" s="1"/>
  <c r="G23" i="11" s="1"/>
  <c r="H22" i="11" s="1"/>
  <c r="H12" i="11"/>
  <c r="H16" i="11"/>
  <c r="H14" i="11"/>
  <c r="I11" i="11"/>
  <c r="Q21" i="11"/>
  <c r="S21" i="11"/>
  <c r="P21" i="11"/>
  <c r="R21" i="11"/>
  <c r="T21" i="11"/>
  <c r="R17" i="11"/>
  <c r="H13" i="11"/>
  <c r="T15" i="11"/>
  <c r="S16" i="11"/>
  <c r="T8" i="11"/>
  <c r="S9" i="11"/>
  <c r="S7" i="11"/>
  <c r="E18" i="21"/>
  <c r="O64" i="21"/>
  <c r="C23" i="21"/>
  <c r="M66" i="21"/>
  <c r="D23" i="21"/>
  <c r="N66" i="21"/>
  <c r="Y30" i="21"/>
  <c r="Y31" i="21" s="1"/>
  <c r="Y33" i="21" s="1"/>
  <c r="X33" i="21"/>
  <c r="O30" i="21"/>
  <c r="O31" i="21" s="1"/>
  <c r="O33" i="21" s="1"/>
  <c r="L21" i="6"/>
  <c r="M20" i="6" s="1"/>
  <c r="M21" i="6" s="1"/>
  <c r="N20" i="6" s="1"/>
  <c r="N21" i="6" s="1"/>
  <c r="B49" i="6"/>
  <c r="D11" i="13"/>
  <c r="E11" i="13" s="1"/>
  <c r="D10" i="13"/>
  <c r="D9" i="13"/>
  <c r="D8" i="13"/>
  <c r="E8" i="13" s="1"/>
  <c r="D7" i="13"/>
  <c r="D6" i="13"/>
  <c r="F77" i="12"/>
  <c r="E77" i="12"/>
  <c r="D77" i="12"/>
  <c r="C77" i="12"/>
  <c r="B77" i="12"/>
  <c r="F68" i="12"/>
  <c r="F78" i="12" s="1"/>
  <c r="E68" i="12"/>
  <c r="E78" i="12" s="1"/>
  <c r="D68" i="12"/>
  <c r="D78" i="12" s="1"/>
  <c r="C68" i="12"/>
  <c r="C78" i="12" s="1"/>
  <c r="B68" i="12"/>
  <c r="B78" i="12" s="1"/>
  <c r="F57" i="12"/>
  <c r="F59" i="12" s="1"/>
  <c r="D57" i="12"/>
  <c r="D59" i="12" s="1"/>
  <c r="D79" i="12" s="1"/>
  <c r="B57" i="12"/>
  <c r="F56" i="12"/>
  <c r="E56" i="12"/>
  <c r="E57" i="12" s="1"/>
  <c r="E59" i="12" s="1"/>
  <c r="E79" i="12" s="1"/>
  <c r="D56" i="12"/>
  <c r="C56" i="12"/>
  <c r="C57" i="12" s="1"/>
  <c r="B56" i="12"/>
  <c r="B59" i="12" s="1"/>
  <c r="B79" i="12" s="1"/>
  <c r="E48" i="12"/>
  <c r="C48" i="12"/>
  <c r="B48" i="12"/>
  <c r="F47" i="12"/>
  <c r="F48" i="12" s="1"/>
  <c r="E43" i="12"/>
  <c r="D43" i="12"/>
  <c r="D48" i="12" s="1"/>
  <c r="F38" i="12"/>
  <c r="F37" i="12"/>
  <c r="E37" i="12"/>
  <c r="E40" i="12" s="1"/>
  <c r="E49" i="12" s="1"/>
  <c r="D37" i="12"/>
  <c r="C37" i="12"/>
  <c r="C40" i="12" s="1"/>
  <c r="C49" i="12" s="1"/>
  <c r="B37" i="12"/>
  <c r="F34" i="12"/>
  <c r="F40" i="12" s="1"/>
  <c r="E34" i="12"/>
  <c r="D34" i="12"/>
  <c r="D40" i="12" s="1"/>
  <c r="C34" i="12"/>
  <c r="B34" i="12"/>
  <c r="B40" i="12" s="1"/>
  <c r="B49" i="12" s="1"/>
  <c r="F20" i="12"/>
  <c r="F19" i="12"/>
  <c r="E19" i="12"/>
  <c r="D19" i="12"/>
  <c r="C19" i="12"/>
  <c r="F17" i="12"/>
  <c r="E17" i="12"/>
  <c r="D17" i="12"/>
  <c r="C17" i="12"/>
  <c r="B17" i="12"/>
  <c r="E16" i="12"/>
  <c r="E18" i="12" s="1"/>
  <c r="E21" i="12" s="1"/>
  <c r="E23" i="12" s="1"/>
  <c r="E25" i="12" s="1"/>
  <c r="C16" i="12"/>
  <c r="C18" i="12" s="1"/>
  <c r="C21" i="12" s="1"/>
  <c r="C23" i="12" s="1"/>
  <c r="C25" i="12" s="1"/>
  <c r="B16" i="12"/>
  <c r="B18" i="12" s="1"/>
  <c r="B21" i="12" s="1"/>
  <c r="B23" i="12" s="1"/>
  <c r="B25" i="12" s="1"/>
  <c r="F15" i="12"/>
  <c r="F16" i="12" s="1"/>
  <c r="F18" i="12" s="1"/>
  <c r="F21" i="12" s="1"/>
  <c r="F23" i="12" s="1"/>
  <c r="F25" i="12" s="1"/>
  <c r="E15" i="12"/>
  <c r="D15" i="12"/>
  <c r="D16" i="12" s="1"/>
  <c r="D18" i="12" s="1"/>
  <c r="D21" i="12" s="1"/>
  <c r="D23" i="12" s="1"/>
  <c r="D25" i="12" s="1"/>
  <c r="C15" i="12"/>
  <c r="H87" i="9" l="1"/>
  <c r="H79" i="9"/>
  <c r="I83" i="9"/>
  <c r="H83" i="9"/>
  <c r="E55" i="9"/>
  <c r="E57" i="9" s="1"/>
  <c r="E67" i="9" s="1"/>
  <c r="H132" i="9"/>
  <c r="G60" i="9"/>
  <c r="G65" i="9" s="1"/>
  <c r="G32" i="9"/>
  <c r="G86" i="9" s="1"/>
  <c r="G88" i="9" s="1"/>
  <c r="E49" i="9"/>
  <c r="F33" i="9"/>
  <c r="F35" i="9" s="1"/>
  <c r="J25" i="9"/>
  <c r="J63" i="9"/>
  <c r="J84" i="9" s="1"/>
  <c r="J46" i="9"/>
  <c r="H112" i="9"/>
  <c r="H114" i="9" s="1"/>
  <c r="G42" i="9"/>
  <c r="I25" i="9"/>
  <c r="I46" i="9"/>
  <c r="I63" i="9"/>
  <c r="I84" i="9" s="1"/>
  <c r="H15" i="11"/>
  <c r="H17" i="11" s="1"/>
  <c r="H19" i="11" s="1"/>
  <c r="H20" i="11" s="1"/>
  <c r="H21" i="11" s="1"/>
  <c r="H23" i="11" s="1"/>
  <c r="I22" i="11" s="1"/>
  <c r="I12" i="11"/>
  <c r="I13" i="11" s="1"/>
  <c r="I16" i="11"/>
  <c r="I14" i="11"/>
  <c r="J11" i="11"/>
  <c r="S17" i="11"/>
  <c r="T16" i="11"/>
  <c r="T9" i="11"/>
  <c r="T7" i="11"/>
  <c r="D25" i="21"/>
  <c r="N67" i="21"/>
  <c r="C25" i="21"/>
  <c r="M67" i="21"/>
  <c r="E21" i="21"/>
  <c r="O65" i="21"/>
  <c r="B50" i="6"/>
  <c r="O49" i="6"/>
  <c r="D49" i="12"/>
  <c r="F49" i="12"/>
  <c r="F79" i="12"/>
  <c r="C59" i="12"/>
  <c r="C79" i="12" s="1"/>
  <c r="J83" i="9" l="1"/>
  <c r="E69" i="9"/>
  <c r="G34" i="9"/>
  <c r="F55" i="9"/>
  <c r="F57" i="9" s="1"/>
  <c r="F67" i="9" s="1"/>
  <c r="G33" i="9"/>
  <c r="H133" i="9"/>
  <c r="H115" i="9"/>
  <c r="H29" i="9" s="1"/>
  <c r="H78" i="9" s="1"/>
  <c r="I15" i="11"/>
  <c r="I17" i="11" s="1"/>
  <c r="I19" i="11" s="1"/>
  <c r="I20" i="11" s="1"/>
  <c r="I21" i="11" s="1"/>
  <c r="I23" i="11" s="1"/>
  <c r="J22" i="11" s="1"/>
  <c r="J12" i="11"/>
  <c r="J13" i="11" s="1"/>
  <c r="J16" i="11"/>
  <c r="J14" i="11"/>
  <c r="T17" i="11"/>
  <c r="E23" i="21"/>
  <c r="O66" i="21"/>
  <c r="C26" i="21"/>
  <c r="M68" i="21"/>
  <c r="C27" i="21"/>
  <c r="N68" i="21"/>
  <c r="D26" i="21"/>
  <c r="D27" i="21" s="1"/>
  <c r="B52" i="6"/>
  <c r="O50" i="6"/>
  <c r="F49" i="9" l="1"/>
  <c r="F69" i="9" s="1"/>
  <c r="G35" i="9"/>
  <c r="H60" i="9"/>
  <c r="H65" i="9" s="1"/>
  <c r="I129" i="9"/>
  <c r="I131" i="9" s="1"/>
  <c r="H31" i="9"/>
  <c r="H76" i="9" s="1"/>
  <c r="H81" i="9" s="1"/>
  <c r="H85" i="9" s="1"/>
  <c r="H116" i="9"/>
  <c r="I112" i="9" s="1"/>
  <c r="I114" i="9" s="1"/>
  <c r="J15" i="11"/>
  <c r="J17" i="11" s="1"/>
  <c r="J19" i="11" s="1"/>
  <c r="J20" i="11" s="1"/>
  <c r="J21" i="11" s="1"/>
  <c r="J23" i="11" s="1"/>
  <c r="D29" i="21"/>
  <c r="N69" i="21"/>
  <c r="D36" i="21"/>
  <c r="D37" i="21"/>
  <c r="C29" i="21"/>
  <c r="C31" i="21" s="1"/>
  <c r="M69" i="21"/>
  <c r="C36" i="21"/>
  <c r="C37" i="21"/>
  <c r="E25" i="21"/>
  <c r="O67" i="21"/>
  <c r="B51" i="5"/>
  <c r="C36" i="5"/>
  <c r="G49" i="9" l="1"/>
  <c r="H32" i="9"/>
  <c r="H86" i="9" s="1"/>
  <c r="H88" i="9" s="1"/>
  <c r="I132" i="9"/>
  <c r="I30" i="9"/>
  <c r="G55" i="9"/>
  <c r="G57" i="9" s="1"/>
  <c r="G67" i="9" s="1"/>
  <c r="H34" i="9"/>
  <c r="H42" i="9"/>
  <c r="I115" i="9"/>
  <c r="I29" i="9" s="1"/>
  <c r="I78" i="9" s="1"/>
  <c r="E26" i="21"/>
  <c r="E27" i="21" s="1"/>
  <c r="O68" i="21"/>
  <c r="C33" i="21"/>
  <c r="C38" i="21" s="1"/>
  <c r="D30" i="21"/>
  <c r="D31" i="21"/>
  <c r="C51" i="5"/>
  <c r="C42" i="5"/>
  <c r="B42" i="5"/>
  <c r="C37" i="5"/>
  <c r="B37" i="5"/>
  <c r="I79" i="9" l="1"/>
  <c r="I87" i="9"/>
  <c r="G69" i="9"/>
  <c r="I31" i="9"/>
  <c r="I76" i="9" s="1"/>
  <c r="I81" i="9" s="1"/>
  <c r="I85" i="9" s="1"/>
  <c r="I133" i="9"/>
  <c r="H33" i="9"/>
  <c r="H35" i="9" s="1"/>
  <c r="I116" i="9"/>
  <c r="J112" i="9" s="1"/>
  <c r="J114" i="9" s="1"/>
  <c r="D33" i="21"/>
  <c r="D38" i="21" s="1"/>
  <c r="E30" i="21"/>
  <c r="E29" i="21"/>
  <c r="O69" i="21"/>
  <c r="E36" i="21"/>
  <c r="E37" i="21"/>
  <c r="B52" i="5"/>
  <c r="C52" i="5"/>
  <c r="I32" i="9" l="1"/>
  <c r="I86" i="9" s="1"/>
  <c r="I88" i="9" s="1"/>
  <c r="H49" i="9"/>
  <c r="H55" i="9"/>
  <c r="H57" i="9" s="1"/>
  <c r="H67" i="9" s="1"/>
  <c r="I34" i="9"/>
  <c r="J129" i="9"/>
  <c r="J131" i="9" s="1"/>
  <c r="I60" i="9"/>
  <c r="I65" i="9" s="1"/>
  <c r="I42" i="9"/>
  <c r="J115" i="9"/>
  <c r="J29" i="9" s="1"/>
  <c r="J78" i="9" s="1"/>
  <c r="E31" i="21"/>
  <c r="E33" i="21" s="1"/>
  <c r="E38" i="21" s="1"/>
  <c r="B19" i="18"/>
  <c r="B21" i="18" s="1"/>
  <c r="B23" i="18" s="1"/>
  <c r="B25" i="18" s="1"/>
  <c r="B27" i="18" s="1"/>
  <c r="B29" i="18" s="1"/>
  <c r="H69" i="9" l="1"/>
  <c r="J30" i="9"/>
  <c r="J132" i="9"/>
  <c r="I33" i="9"/>
  <c r="I35" i="9" s="1"/>
  <c r="J116" i="9"/>
  <c r="J42" i="9" s="1"/>
  <c r="B31" i="18"/>
  <c r="B46" i="18"/>
  <c r="J87" i="9" l="1"/>
  <c r="J79" i="9"/>
  <c r="I49" i="9"/>
  <c r="I55" i="9"/>
  <c r="I57" i="9" s="1"/>
  <c r="I67" i="9" s="1"/>
  <c r="J34" i="9"/>
  <c r="J133" i="9"/>
  <c r="J60" i="9" s="1"/>
  <c r="J65" i="9" s="1"/>
  <c r="J31" i="9"/>
  <c r="J76" i="9" s="1"/>
  <c r="J81" i="9" s="1"/>
  <c r="J85" i="9" s="1"/>
  <c r="B47" i="18"/>
  <c r="B56" i="18"/>
  <c r="I69" i="9" l="1"/>
  <c r="J32" i="9"/>
  <c r="J86" i="9" s="1"/>
  <c r="J88" i="9" s="1"/>
  <c r="J33" i="9" l="1"/>
  <c r="J35" i="9" s="1"/>
  <c r="J55" i="9" s="1"/>
  <c r="J57" i="9" s="1"/>
  <c r="J67" i="9" s="1"/>
  <c r="J49" i="9"/>
  <c r="J69" i="9" l="1"/>
  <c r="B57" i="22"/>
  <c r="C19" i="22"/>
  <c r="C20" i="22" s="1"/>
  <c r="C21" i="22" l="1"/>
  <c r="C22" i="22" s="1"/>
  <c r="C23" i="22" l="1"/>
  <c r="C24" i="22" s="1"/>
  <c r="C26" i="22" s="1"/>
  <c r="D25" i="22" l="1"/>
  <c r="D26" i="22" s="1"/>
  <c r="C46" i="22"/>
  <c r="C47" i="22" s="1"/>
  <c r="C55" i="22" l="1"/>
  <c r="C57" i="22" s="1"/>
  <c r="E25" i="22"/>
  <c r="D46" i="22"/>
  <c r="D47" i="22" s="1"/>
  <c r="E19" i="22" l="1"/>
  <c r="E20" i="22" s="1"/>
  <c r="E21" i="22" s="1"/>
  <c r="E22" i="22" s="1"/>
  <c r="D49" i="22"/>
  <c r="D55" i="22"/>
  <c r="D57" i="22" s="1"/>
  <c r="E23" i="22" l="1"/>
  <c r="E24" i="22" s="1"/>
  <c r="E26" i="22" s="1"/>
  <c r="E46" i="22" l="1"/>
  <c r="E47" i="22" s="1"/>
  <c r="E49" i="22" s="1"/>
  <c r="F25" i="22"/>
  <c r="F19" i="22" l="1"/>
  <c r="F20" i="22" s="1"/>
  <c r="F21" i="22" s="1"/>
  <c r="F22" i="22" s="1"/>
  <c r="F23" i="22" l="1"/>
  <c r="F24" i="22" s="1"/>
  <c r="F26" i="22" s="1"/>
  <c r="E55" i="22"/>
  <c r="E57" i="22" s="1"/>
  <c r="F46" i="22" l="1"/>
  <c r="F47" i="22" s="1"/>
  <c r="F49" i="22" s="1"/>
  <c r="G25" i="22"/>
  <c r="G20" i="22" l="1"/>
  <c r="G21" i="22" s="1"/>
  <c r="G22" i="22" s="1"/>
  <c r="G23" i="22" s="1"/>
  <c r="G24" i="22" s="1"/>
  <c r="G26" i="22" s="1"/>
  <c r="G46" i="22" s="1"/>
  <c r="G47" i="22" s="1"/>
  <c r="G49" i="22" s="1"/>
  <c r="G55" i="22" l="1"/>
  <c r="G57" i="22" s="1"/>
  <c r="F55" i="22"/>
  <c r="F57" i="22" s="1"/>
</calcChain>
</file>

<file path=xl/sharedStrings.xml><?xml version="1.0" encoding="utf-8"?>
<sst xmlns="http://schemas.openxmlformats.org/spreadsheetml/2006/main" count="1434" uniqueCount="805">
  <si>
    <t>EBIT</t>
  </si>
  <si>
    <t>Current ratio</t>
  </si>
  <si>
    <t>Super Cars Limited deals in car accessories. Roughly 75% of sales are on credit while the balance are on cash sales.</t>
  </si>
  <si>
    <t>Super Cars Limited engaged an analyst who extracted the following summary of industry ratios:</t>
  </si>
  <si>
    <t xml:space="preserve">Return on year end capital employed    </t>
  </si>
  <si>
    <t>Net asset (equal to capital employed) turnover</t>
  </si>
  <si>
    <t xml:space="preserve">Gross profit margin                                                                                    </t>
  </si>
  <si>
    <t xml:space="preserve">Net profit (before tax) margin   </t>
  </si>
  <si>
    <t>4 times</t>
  </si>
  <si>
    <t>1.6:1</t>
  </si>
  <si>
    <t>Closing inventory holding period</t>
  </si>
  <si>
    <t>46 days</t>
  </si>
  <si>
    <t>Trade receivables collection period</t>
  </si>
  <si>
    <t>45 days</t>
  </si>
  <si>
    <t>55 days</t>
  </si>
  <si>
    <t>Dividend cover</t>
  </si>
  <si>
    <t>2 times</t>
  </si>
  <si>
    <t>Super Cars Limited summarised financial statements for the year ended 31 December 2021 are as provided below:</t>
  </si>
  <si>
    <t>Statement of profit or loss for the year ended 31 December 2021</t>
  </si>
  <si>
    <t>Sh."OOO"</t>
  </si>
  <si>
    <t>Revenue</t>
  </si>
  <si>
    <t>Cost of sales</t>
  </si>
  <si>
    <t>Gross profit</t>
  </si>
  <si>
    <t>Operating expenses</t>
  </si>
  <si>
    <t>Profit on disposal of plant</t>
  </si>
  <si>
    <t>Finance cost</t>
  </si>
  <si>
    <t>Profit before tax</t>
  </si>
  <si>
    <t>Income tax expense</t>
  </si>
  <si>
    <t>Profit for the period</t>
  </si>
  <si>
    <t>Statement of financial position as at 30 December 2021</t>
  </si>
  <si>
    <t>Property, plant and equipment</t>
  </si>
  <si>
    <t>Current assets:</t>
  </si>
  <si>
    <t>Inventory</t>
  </si>
  <si>
    <t xml:space="preserve">Trade receivables </t>
  </si>
  <si>
    <t>Total assets</t>
  </si>
  <si>
    <t>Equity and liabilities:</t>
  </si>
  <si>
    <t>Capital and reserves:</t>
  </si>
  <si>
    <t>Ordinary shares of Sh. 100 each</t>
  </si>
  <si>
    <t>Retained earnings</t>
  </si>
  <si>
    <t>Non-current liabilities:</t>
  </si>
  <si>
    <t>Current liabilities:</t>
  </si>
  <si>
    <t>Trade payables</t>
  </si>
  <si>
    <t>Current tax</t>
  </si>
  <si>
    <t>Bank overdraft</t>
  </si>
  <si>
    <t>Total equity and liabilities</t>
  </si>
  <si>
    <t>Additional information:</t>
  </si>
  <si>
    <t>l. Super Cars Limited received Sh.600,000 from the sale of plant that had a carrying amount of Sh.400,000 at the date of its sale.</t>
  </si>
  <si>
    <t>Required:</t>
  </si>
  <si>
    <t>31 December 2021.</t>
  </si>
  <si>
    <t>(12 marks)</t>
  </si>
  <si>
    <t>(Total: 20 marks)</t>
  </si>
  <si>
    <t>8 % debentures</t>
  </si>
  <si>
    <t>dividend yield</t>
  </si>
  <si>
    <t>Trade payables' payment period</t>
  </si>
  <si>
    <t>Net profit margin</t>
  </si>
  <si>
    <t>Gross profit margin</t>
  </si>
  <si>
    <t>Sh.“million”</t>
  </si>
  <si>
    <t xml:space="preserve">Net Sales (80% credit sales)
</t>
  </si>
  <si>
    <t>Net profit before interest and taxes</t>
  </si>
  <si>
    <t>Interest expense</t>
  </si>
  <si>
    <t>Corporate tax</t>
  </si>
  <si>
    <t>Net profit after tax</t>
  </si>
  <si>
    <t>Less: Dividends - Interim</t>
  </si>
  <si>
    <t>- Final</t>
  </si>
  <si>
    <t>Retained profit</t>
  </si>
  <si>
    <t>2022</t>
  </si>
  <si>
    <t>2023</t>
  </si>
  <si>
    <t>Assets:</t>
  </si>
  <si>
    <t xml:space="preserve">Non-current assets:
</t>
  </si>
  <si>
    <t>Propert, plant and equipment (NBV)</t>
  </si>
  <si>
    <t xml:space="preserve">Current assets:
</t>
  </si>
  <si>
    <t>Trade receivables</t>
  </si>
  <si>
    <t>Cash in hand</t>
  </si>
  <si>
    <t xml:space="preserve">Capital and liabilities:
</t>
  </si>
  <si>
    <t>Capital:</t>
  </si>
  <si>
    <t>Ordinary share capital (Sh.10 par)</t>
  </si>
  <si>
    <t>Revenue reserves</t>
  </si>
  <si>
    <t xml:space="preserve">Non-current liabilities:
</t>
  </si>
  <si>
    <t>10% debentures</t>
  </si>
  <si>
    <t xml:space="preserve">Current liabilities:
</t>
  </si>
  <si>
    <t>Tax payable</t>
  </si>
  <si>
    <t>Proposed dividends</t>
  </si>
  <si>
    <t>Total capital and liabilities</t>
  </si>
  <si>
    <t>SECTION II – TOTAL 60 MARKS</t>
  </si>
  <si>
    <t>Question Twenty Two</t>
  </si>
  <si>
    <t>You are provided with the following extracts of the statement of profit or loss and statement of financial position for Darubini</t>
  </si>
  <si>
    <t xml:space="preserve"> Limited for the years ended 30 June 2020, 2021 and 2022:  </t>
  </si>
  <si>
    <t>Darubini Limited</t>
  </si>
  <si>
    <t>Statement of profit or loss extract for the year ended 30 June (figures in Sh."000"):</t>
  </si>
  <si>
    <t>Sales</t>
  </si>
  <si>
    <t>Operating profit</t>
  </si>
  <si>
    <t xml:space="preserve">Depreciation </t>
  </si>
  <si>
    <t>Profit before interest and tax</t>
  </si>
  <si>
    <t>Finance costs</t>
  </si>
  <si>
    <t>Statement of financial position:</t>
  </si>
  <si>
    <t>Non-current assets:</t>
  </si>
  <si>
    <t>Receivables</t>
  </si>
  <si>
    <t>Cash and cash equivalents</t>
  </si>
  <si>
    <t>Total current assets</t>
  </si>
  <si>
    <t>Equity and Liabilities:</t>
  </si>
  <si>
    <t>Long-term liabilities:</t>
  </si>
  <si>
    <t>Long term borrowings</t>
  </si>
  <si>
    <t>Accounts payable</t>
  </si>
  <si>
    <t>Equity:</t>
  </si>
  <si>
    <t>Paid up capital</t>
  </si>
  <si>
    <t>(a)         Prepare the statement of cash flows for the company for the two years ended 30 June 2021 and 30 June 2022.               (8 marks)</t>
  </si>
  <si>
    <t>(b)        Calculate and comment on the following key ratios:</t>
  </si>
  <si>
    <t xml:space="preserve">            (i)         Revenue growth rates for the years ended 30 June 2021 and 30 June 2022.                                                                (2 marks)</t>
  </si>
  <si>
    <t xml:space="preserve">            (ii)       Two years’ cumulative average revenue growth rate for the year ended 30 June 2022.                                             (2 marks)</t>
  </si>
  <si>
    <t xml:space="preserve">            (iii)       Return on equity (ROE) for each of the three years. Discuss your results.                                                                 (2 marks)</t>
  </si>
  <si>
    <t xml:space="preserve">           </t>
  </si>
  <si>
    <t xml:space="preserve">(c)        Using the two-years cumulative average revenue growth rate calculated in (b) (ii) above, prepare a one year forecast of the </t>
  </si>
  <si>
    <t xml:space="preserve">             statement of profit or loss for the year  ending 30 June 2023. Assume that the vertical ratios for year ended 30 June 2022 apply </t>
  </si>
  <si>
    <t xml:space="preserve">             for the 2023 forecast except that depreciation and finance costs remain constant. Tax is assumed to be at 30%. </t>
  </si>
  <si>
    <t xml:space="preserve">   </t>
  </si>
  <si>
    <t>Registration Number:</t>
  </si>
  <si>
    <t>Question Twenty One</t>
  </si>
  <si>
    <t>You are provided with the following extracts of the statement of profit or loss for Sepetuka Limited:</t>
  </si>
  <si>
    <t>Sepetuka Limited</t>
  </si>
  <si>
    <t>Statement of profit or loss extract for the year ended 30 September:</t>
  </si>
  <si>
    <t>Year</t>
  </si>
  <si>
    <t>Sh.“000”</t>
  </si>
  <si>
    <t>Profit after tax</t>
  </si>
  <si>
    <t>(i)        Annual revenue growth rates for years 2020, 2021 and 2022.</t>
  </si>
  <si>
    <t>(ii)       Three years cumulative average growth rate (CAGR) for year 2022.</t>
  </si>
  <si>
    <t xml:space="preserve">        The base case growth rate for the first year forecast is the 2022 CAGR.  This is expected to reduce by 2% annually</t>
  </si>
  <si>
    <t xml:space="preserve">        until the last year of the forecast subject to a minimum of 15%. The optimistic case is 20% above the base case </t>
  </si>
  <si>
    <t xml:space="preserve">        while the pessimistic case is 10% below the base case in all forecast periods.  </t>
  </si>
  <si>
    <t>2.     Gross profit margin for the first year of the forecast is the 3-year average for the period from year 2020 to year 2022.</t>
  </si>
  <si>
    <t xml:space="preserve">        This is expected to reduce by 2% annually until the last year of the forecast subject to a minimum of 50%.   </t>
  </si>
  <si>
    <t>3.     Operating expense ratios are modelled as 3-year averages for the period from 2020 to 2022. These are assumed</t>
  </si>
  <si>
    <t xml:space="preserve">        to remain constant over the forecast period. </t>
  </si>
  <si>
    <t xml:space="preserve">4.     Depreciation to revenue ratio is assumed to remain constant as the  3-year average for the period 2020 to 2022.  </t>
  </si>
  <si>
    <t xml:space="preserve">5.     Finance costs are expected to reduce steadily as the loans are repaid. Use the reduction rate in year 2022  over the </t>
  </si>
  <si>
    <t xml:space="preserve">        forecast period.</t>
  </si>
  <si>
    <t>6.    Income tax expense is calculated as the historical effective tax rate.</t>
  </si>
  <si>
    <t xml:space="preserve">Prepare five-year forecast statements of profit or loss for Sepetuka Limited from year 2023 to year 2027.    </t>
  </si>
  <si>
    <t>SECTION II  (60 MARKS)</t>
  </si>
  <si>
    <t>Section II comprises  Question 21 and Question 22. Answer BOTH questions.</t>
  </si>
  <si>
    <t>QUESTION 21:</t>
  </si>
  <si>
    <t>You are a financial analyst working for Makupa Cement Company. Your task is to prepare a comprehensive financial model and</t>
  </si>
  <si>
    <t>conduct an analysis of the company's financial statements. The company's management has provided you with historical financial</t>
  </si>
  <si>
    <t>data and you are responsible for creating forecasted financial statements and undertaking solvency analysis.</t>
  </si>
  <si>
    <t>Assumptions and additional information:</t>
  </si>
  <si>
    <t xml:space="preserve">1. </t>
  </si>
  <si>
    <t>Statement of financial position information for the year ended 31 December 2023 is as follows:</t>
  </si>
  <si>
    <r>
      <t>·</t>
    </r>
    <r>
      <rPr>
        <sz val="12"/>
        <color theme="1"/>
        <rFont val="Times New Roman"/>
        <family val="1"/>
      </rPr>
      <t>      The company's Property, Plant and Equipment (PPE) is valued at Sh.19,500,000.</t>
    </r>
  </si>
  <si>
    <r>
      <t>·</t>
    </r>
    <r>
      <rPr>
        <sz val="12"/>
        <color theme="1"/>
        <rFont val="Times New Roman"/>
        <family val="1"/>
      </rPr>
      <t>      Receivables amount to Sh.1,750,000.</t>
    </r>
  </si>
  <si>
    <r>
      <t>·</t>
    </r>
    <r>
      <rPr>
        <sz val="12"/>
        <color theme="1"/>
        <rFont val="Times New Roman"/>
        <family val="1"/>
      </rPr>
      <t>      Inventory stands at Sh.650,000.</t>
    </r>
  </si>
  <si>
    <r>
      <t>·</t>
    </r>
    <r>
      <rPr>
        <sz val="12"/>
        <color theme="1"/>
        <rFont val="Times New Roman"/>
        <family val="1"/>
      </rPr>
      <t>      The company holds Sh.3,100,000 in cash.</t>
    </r>
  </si>
  <si>
    <t>Liabilities:</t>
  </si>
  <si>
    <r>
      <t>·</t>
    </r>
    <r>
      <rPr>
        <sz val="12"/>
        <color theme="1"/>
        <rFont val="Times New Roman"/>
        <family val="1"/>
      </rPr>
      <t>      The outstanding debt is Sh.15,000,000.</t>
    </r>
  </si>
  <si>
    <r>
      <t>·</t>
    </r>
    <r>
      <rPr>
        <sz val="12"/>
        <color theme="1"/>
        <rFont val="Times New Roman"/>
        <family val="1"/>
      </rPr>
      <t>      There are Sh.1,000,000 in accounts payable.</t>
    </r>
  </si>
  <si>
    <r>
      <t>·</t>
    </r>
    <r>
      <rPr>
        <sz val="12"/>
        <color theme="1"/>
        <rFont val="Times New Roman"/>
        <family val="1"/>
      </rPr>
      <t>      The equity capital is Sh.1,000,000.</t>
    </r>
  </si>
  <si>
    <r>
      <t>·</t>
    </r>
    <r>
      <rPr>
        <sz val="12"/>
        <color theme="1"/>
        <rFont val="Times New Roman"/>
        <family val="1"/>
      </rPr>
      <t>      Retained earnings are Sh.8,000,000.</t>
    </r>
  </si>
  <si>
    <t>2.</t>
  </si>
  <si>
    <t>The projected revenue for the year 2024 is Sh.30 million.</t>
  </si>
  <si>
    <t>3.</t>
  </si>
  <si>
    <t>Revenue is expected to grow at the rate of 8% annually.</t>
  </si>
  <si>
    <t>4.</t>
  </si>
  <si>
    <t>Cost of goods sold (COGS) is estimated to be 42.5% of revenue.</t>
  </si>
  <si>
    <t>5.</t>
  </si>
  <si>
    <t>Operating expenses are estimated to be 17% of revenue.</t>
  </si>
  <si>
    <t>6.</t>
  </si>
  <si>
    <t>The income tax rate is 30%.</t>
  </si>
  <si>
    <t>7.</t>
  </si>
  <si>
    <t>8.</t>
  </si>
  <si>
    <t>Capital expenditures (CapEx) are estimated to be 2.5% of revenue.</t>
  </si>
  <si>
    <t>9.</t>
  </si>
  <si>
    <t>The company's working capital assumptions are as follows:</t>
  </si>
  <si>
    <r>
      <t>·</t>
    </r>
    <r>
      <rPr>
        <sz val="12"/>
        <color theme="1"/>
        <rFont val="Times New Roman"/>
        <family val="1"/>
      </rPr>
      <t>     Accounts receivable turnover is 12.</t>
    </r>
  </si>
  <si>
    <r>
      <t>·</t>
    </r>
    <r>
      <rPr>
        <sz val="12"/>
        <color theme="1"/>
        <rFont val="Times New Roman"/>
        <family val="1"/>
      </rPr>
      <t xml:space="preserve">     Inventory turnover is 24. </t>
    </r>
  </si>
  <si>
    <r>
      <t>·</t>
    </r>
    <r>
      <rPr>
        <sz val="12"/>
        <color theme="1"/>
        <rFont val="Times New Roman"/>
        <family val="1"/>
      </rPr>
      <t>    Accounts payable turnover is 12.</t>
    </r>
  </si>
  <si>
    <t>10.</t>
  </si>
  <si>
    <t>The debt brought forward has the following terms:</t>
  </si>
  <si>
    <r>
      <t>·</t>
    </r>
    <r>
      <rPr>
        <sz val="12"/>
        <color theme="1"/>
        <rFont val="Times New Roman"/>
        <family val="1"/>
      </rPr>
      <t>    Terms outstanding: 5 years</t>
    </r>
  </si>
  <si>
    <r>
      <t>·</t>
    </r>
    <r>
      <rPr>
        <sz val="12"/>
        <color theme="1"/>
        <rFont val="Times New Roman"/>
        <family val="1"/>
      </rPr>
      <t>    Interest rate: 15% of principal outstanding</t>
    </r>
  </si>
  <si>
    <r>
      <t>·</t>
    </r>
    <r>
      <rPr>
        <sz val="12"/>
        <color theme="1"/>
        <rFont val="Times New Roman"/>
        <family val="1"/>
      </rPr>
      <t>    Principal repayment schedule: Evenly distributed over the loan term.</t>
    </r>
  </si>
  <si>
    <t>11.</t>
  </si>
  <si>
    <t xml:space="preserve">The company does not intend to take on additional debt over the next five years. </t>
  </si>
  <si>
    <t>12.</t>
  </si>
  <si>
    <t>The company’s dividend payout rate is 40%.</t>
  </si>
  <si>
    <t>(a)</t>
  </si>
  <si>
    <t>Develop a five-year forecast for the company's statement of profit or loss, statement of financial position and statement of cash flows and</t>
  </si>
  <si>
    <t>their supporting schedules, such as a depreciation schedule, a working capital schedule, that provide detailed calculations for your forecasts.</t>
  </si>
  <si>
    <t>(21 marks)</t>
  </si>
  <si>
    <t xml:space="preserve">(b) </t>
  </si>
  <si>
    <t>Calculate the following liqudity and solvency ratios for each of the five forecasted years:</t>
  </si>
  <si>
    <t xml:space="preserve">(i) </t>
  </si>
  <si>
    <t>Current ratio.</t>
  </si>
  <si>
    <t>(1 mark)</t>
  </si>
  <si>
    <t>(ii)</t>
  </si>
  <si>
    <t>Quick ratio (Acid-Test Ratio).</t>
  </si>
  <si>
    <t>(iii)</t>
  </si>
  <si>
    <t>Interest coverage ratio.</t>
  </si>
  <si>
    <t>(iv)</t>
  </si>
  <si>
    <t>Debt ratio.</t>
  </si>
  <si>
    <t>(v)</t>
  </si>
  <si>
    <t>Cash flow to debt ratio.</t>
  </si>
  <si>
    <t>(c)</t>
  </si>
  <si>
    <t>Create a visual representation (graphs or charts) of the liquidity and solvency ratios calculated in (b) above.</t>
  </si>
  <si>
    <t>(4 marks)</t>
  </si>
  <si>
    <t xml:space="preserve">QUESTION TWENTY TWO </t>
  </si>
  <si>
    <t xml:space="preserve">Question Twenty Two </t>
  </si>
  <si>
    <t xml:space="preserve">As a senior financial analyst at Wemma Capital, you have been tasked by the chief investment </t>
  </si>
  <si>
    <t xml:space="preserve">manager to develop a financial model for a new startup company that plans to manufacture and </t>
  </si>
  <si>
    <t xml:space="preserve">sell electric bikes components in the country. </t>
  </si>
  <si>
    <t xml:space="preserve">The following information is provided: </t>
  </si>
  <si>
    <t xml:space="preserve">1. The company is expected to produce 1,000,000 units annually. </t>
  </si>
  <si>
    <t xml:space="preserve">2. The unit selling price is expected to be Sh.18.50 in 2024. </t>
  </si>
  <si>
    <t xml:space="preserve">3. The unit selling price is expected to increase by 5% annually. </t>
  </si>
  <si>
    <t xml:space="preserve">4. The cost of goods sold (percentage of revenue) is 42.0%. </t>
  </si>
  <si>
    <t xml:space="preserve">5. The salaries and benefits expense (percentage of revenue) is 17.0%. </t>
  </si>
  <si>
    <t xml:space="preserve">6. The annual rent and overhead expense are Sh. 500,000. </t>
  </si>
  <si>
    <t xml:space="preserve">7. Depreciation and amortisation (percentage of property, plant and equipment) is 25.0%. </t>
  </si>
  <si>
    <t xml:space="preserve">8. Interest rate (percentage of debt) is 10.0%. </t>
  </si>
  <si>
    <t xml:space="preserve">9. The applicable tax rate is 30.0%. </t>
  </si>
  <si>
    <t xml:space="preserve">10. The accounts receivable (Days) is 30. </t>
  </si>
  <si>
    <t xml:space="preserve">11. The inventory (Days) is 14. </t>
  </si>
  <si>
    <t xml:space="preserve">12. The accounts payable (Days) is 30. </t>
  </si>
  <si>
    <t xml:space="preserve">13. Capital expenditures in year 0 is percentage Sh.15,000,000. It will be funded by </t>
  </si>
  <si>
    <t>debt issuance of Sh.5,000,000 and equity of Sh.10,000,000.</t>
  </si>
  <si>
    <t xml:space="preserve">Required: </t>
  </si>
  <si>
    <t xml:space="preserve">Using Excel: </t>
  </si>
  <si>
    <t xml:space="preserve">(a) Prepare the following financial statements: </t>
  </si>
  <si>
    <t xml:space="preserve">i. Statement of profit or loss for the five-year period </t>
  </si>
  <si>
    <t xml:space="preserve">ii. Statement of financial position for the five-year period </t>
  </si>
  <si>
    <t xml:space="preserve">iii. Cash flow statement for the company for the five-year period </t>
  </si>
  <si>
    <t xml:space="preserve">(b) Undertake a analysis and compute the following financial ratios for the five years: </t>
  </si>
  <si>
    <t xml:space="preserve">i. Profitability - Return on Assets, Return on Equity, Net Profit Margin Ratio </t>
  </si>
  <si>
    <t xml:space="preserve">ii. Liquidity - Current Ratio, Quick Ratio </t>
  </si>
  <si>
    <t>(c) You are presented with the following information in relation to Furaha Ltd. for the year ending 31 December 2024:</t>
  </si>
  <si>
    <t>Sh.</t>
  </si>
  <si>
    <t>Net sales</t>
  </si>
  <si>
    <t>Current liabilities</t>
  </si>
  <si>
    <t>Debt-assets ratio</t>
  </si>
  <si>
    <t>Debtors turnover based on net sales</t>
  </si>
  <si>
    <t>Inventory turnover ratio</t>
  </si>
  <si>
    <t>Return on total assets</t>
  </si>
  <si>
    <t>Fixed asset turnover</t>
  </si>
  <si>
    <t>Corporation tax rates</t>
  </si>
  <si>
    <t>Compute the following:</t>
  </si>
  <si>
    <t>(i) Cost of sales.</t>
  </si>
  <si>
    <t xml:space="preserve"> (2 mark)</t>
  </si>
  <si>
    <t>(ii) Receivables.</t>
  </si>
  <si>
    <t xml:space="preserve"> (1 mark)</t>
  </si>
  <si>
    <t>(iii) Net profit.</t>
  </si>
  <si>
    <t>(iv) Closing inventory.</t>
  </si>
  <si>
    <t>(v) Total assets.</t>
  </si>
  <si>
    <t>(vi) Non-current assets.</t>
  </si>
  <si>
    <t>(vii) Long-term debt.</t>
  </si>
  <si>
    <t>(d) Prepare a forecasted statement of profit or loss and statement of financial position for the year ending 31 December</t>
  </si>
  <si>
    <t>2024 based on your results in (c) (i) to (c) (vii) above. (12 marks)</t>
  </si>
  <si>
    <t>PAT</t>
  </si>
  <si>
    <t>Retained earnings b/d</t>
  </si>
  <si>
    <t>Retained earnings c/d</t>
  </si>
  <si>
    <t>Share capital</t>
  </si>
  <si>
    <t>SOFP</t>
  </si>
  <si>
    <t>SECTION II (60 MARKS)</t>
  </si>
  <si>
    <t xml:space="preserve">Answer ALL questions in this section. </t>
  </si>
  <si>
    <t>Applecom Ltd. is a listed company operating in the telecommunications sector. The following data relates to the company for the past five years:</t>
  </si>
  <si>
    <t>Statement of Profit or Loss for the year ended 31 March:</t>
  </si>
  <si>
    <t>Sh."million"</t>
  </si>
  <si>
    <t>Total Revenue</t>
  </si>
  <si>
    <t>Other Incomes</t>
  </si>
  <si>
    <t>Direct Costs</t>
  </si>
  <si>
    <t>Other Expenses</t>
  </si>
  <si>
    <t>EBITDA (Earnings Before Interest, Tax, Depreciation and Armotisation)</t>
  </si>
  <si>
    <t>Depreciation and Amortisation</t>
  </si>
  <si>
    <t>Share of Profit in associate and Joint Venture</t>
  </si>
  <si>
    <t>Finance income</t>
  </si>
  <si>
    <t>EBIT (Earnings Before Interest and Tax)</t>
  </si>
  <si>
    <t>Profit before Tax</t>
  </si>
  <si>
    <t>Income Tax Expense</t>
  </si>
  <si>
    <t>Profit After Tax</t>
  </si>
  <si>
    <t>Statement of Financial Position as at 31 March:</t>
  </si>
  <si>
    <t>Property, plant and Equipment</t>
  </si>
  <si>
    <t>Intangible assets</t>
  </si>
  <si>
    <t>Right-of-Use Assets</t>
  </si>
  <si>
    <t>Investment Property</t>
  </si>
  <si>
    <t>Investment in Associate Company</t>
  </si>
  <si>
    <t>Restricted Cash</t>
  </si>
  <si>
    <t>Contract Assets</t>
  </si>
  <si>
    <t>Deferred Tax asset</t>
  </si>
  <si>
    <t>Inventories</t>
  </si>
  <si>
    <t>Receivables and Prepayments</t>
  </si>
  <si>
    <t>Tax recoverable</t>
  </si>
  <si>
    <t>Financial Assets</t>
  </si>
  <si>
    <t>Total Assets</t>
  </si>
  <si>
    <t>Share Premium</t>
  </si>
  <si>
    <t>Translation Reserve</t>
  </si>
  <si>
    <t>Retained Earnings and Dividends</t>
  </si>
  <si>
    <t>Total Equity to Parent</t>
  </si>
  <si>
    <t>Total Equity to Non-controlling interest</t>
  </si>
  <si>
    <t>Total Equity</t>
  </si>
  <si>
    <t>Borrowings</t>
  </si>
  <si>
    <t xml:space="preserve">Payables and Accrued Expenses </t>
  </si>
  <si>
    <t>Provisions</t>
  </si>
  <si>
    <t>Contract Liability</t>
  </si>
  <si>
    <t>Lease Liability</t>
  </si>
  <si>
    <t>Payables and Accrued Expenses</t>
  </si>
  <si>
    <t>Dividends Payable</t>
  </si>
  <si>
    <t>Tax Payable</t>
  </si>
  <si>
    <t>Total Liabilities</t>
  </si>
  <si>
    <t>Total Capital and Liabilities</t>
  </si>
  <si>
    <t>CA35P Page 5</t>
  </si>
  <si>
    <t>Out of 11</t>
  </si>
  <si>
    <t>Cash flows from Operating activities (Sh."million")</t>
  </si>
  <si>
    <t>Number of Shares (million)</t>
  </si>
  <si>
    <t>Market Price per share (Sh.)</t>
  </si>
  <si>
    <t>Dividends Paid (Sh."million")</t>
  </si>
  <si>
    <t>Key Metrics</t>
  </si>
  <si>
    <t>Total Assets Turnover</t>
  </si>
  <si>
    <t>Net Profit Margin</t>
  </si>
  <si>
    <t>Return on Investment</t>
  </si>
  <si>
    <t>Return on Equity</t>
  </si>
  <si>
    <t>Current Ratio</t>
  </si>
  <si>
    <t>Debt Ratio</t>
  </si>
  <si>
    <t>Earnings Per Share (Sh.)</t>
  </si>
  <si>
    <t>Dividend Per share(Sh.)</t>
  </si>
  <si>
    <t>Book Value Per Share (Sh.)</t>
  </si>
  <si>
    <t xml:space="preserve">Prepare a dashboard showing the financial performance and financial position of the organisation over the 5-year period ended 31 March 2023. </t>
  </si>
  <si>
    <t>The dashboard should include the following charts:</t>
  </si>
  <si>
    <t>(a)       Revenue and profit.</t>
  </si>
  <si>
    <t>(2 marks)</t>
  </si>
  <si>
    <t>(b)       Key expenses.</t>
  </si>
  <si>
    <t>(c)       Non current assets.</t>
  </si>
  <si>
    <t>(d)       Current assets.</t>
  </si>
  <si>
    <t>(e)       Non-current liabilities.</t>
  </si>
  <si>
    <t>(f)       Payables and current liabilities.</t>
  </si>
  <si>
    <t>(g)       Efficiency and liquidity ratios.</t>
  </si>
  <si>
    <t>(h)       Profitability ratios.</t>
  </si>
  <si>
    <t>(i)        Debt ratio.</t>
  </si>
  <si>
    <t xml:space="preserve">(j)        Investors ratios. </t>
  </si>
  <si>
    <t>CA35P Page 6</t>
  </si>
  <si>
    <t xml:space="preserve">QUESTION 22: </t>
  </si>
  <si>
    <t>Matrix Limited has provided the following data for the six months ended 31 December 2023:</t>
  </si>
  <si>
    <t>Month</t>
  </si>
  <si>
    <t>Cost of Sales</t>
  </si>
  <si>
    <t>Gross Profit</t>
  </si>
  <si>
    <t>Operating Expenses</t>
  </si>
  <si>
    <t>EBITDA</t>
  </si>
  <si>
    <t>Interest</t>
  </si>
  <si>
    <t>EBT</t>
  </si>
  <si>
    <t xml:space="preserve">End </t>
  </si>
  <si>
    <t>Payables</t>
  </si>
  <si>
    <t>Cash/Bank Balances</t>
  </si>
  <si>
    <t>(a)      Summarise the above data with the following additional sections for the Chief Finance Officer (CFO) Dashboard.</t>
  </si>
  <si>
    <t xml:space="preserve">          (i)       Total profit or loss for the six months.</t>
  </si>
  <si>
    <t xml:space="preserve">          (ii)      Various profit margins.</t>
  </si>
  <si>
    <t xml:space="preserve">          (iii)     Days of Purchases (DOP) using end of year balances (Ignore averages).</t>
  </si>
  <si>
    <t xml:space="preserve">          (iv)     Days of Inventory (DOI) using end of year balances (Ignore averages).</t>
  </si>
  <si>
    <t xml:space="preserve">          (v)      Days of Sales (DOS) using end of year balances (Ignore averages).</t>
  </si>
  <si>
    <t xml:space="preserve">         Assume 360 days in a year and that inventory at the beginning of July was worth Sh.900 million. </t>
  </si>
  <si>
    <t xml:space="preserve"> (8 marks)</t>
  </si>
  <si>
    <t>(b)    Prepare the CFO's dashboard showing the following charts:</t>
  </si>
  <si>
    <t xml:space="preserve">        (i)        Revenue and profit.</t>
  </si>
  <si>
    <t xml:space="preserve">        (ii)       Profit margin.</t>
  </si>
  <si>
    <t xml:space="preserve">        (iii)      Payables levels.</t>
  </si>
  <si>
    <t xml:space="preserve">        (iv)      Inventory levels.</t>
  </si>
  <si>
    <t xml:space="preserve">        (v)       Receivables levels.</t>
  </si>
  <si>
    <t xml:space="preserve">        (vi)      Number of days sales outstanding (DSO) and number of days payables outstanding (DPO).</t>
  </si>
  <si>
    <t>CA35P Page 7</t>
  </si>
  <si>
    <t>i)Revenue growth rates</t>
  </si>
  <si>
    <t>iii)ROE</t>
  </si>
  <si>
    <t>shareholders' equity</t>
  </si>
  <si>
    <t>ii) CARG</t>
  </si>
  <si>
    <t>i) Annual revenue growth rate</t>
  </si>
  <si>
    <t>ii) CARGR</t>
  </si>
  <si>
    <t>iii) tax rate</t>
  </si>
  <si>
    <t>Profit for the year</t>
  </si>
  <si>
    <t>Depreciation expenses are estimated to be 12.5% of total  Non-current assets, assuming a straight-line depreciation method.</t>
  </si>
  <si>
    <t>Wakwi  Limited is a public entity which has grown in recent years by acquiring established business entities. The directors of Wakwi Limited</t>
  </si>
  <si>
    <t xml:space="preserve">have identified two potential entities targeted for a takeover.  The directors believe that the shareholders of the two target companies would </t>
  </si>
  <si>
    <t>be receptive to a takeover. As a pre-requisite to the takeover decision, the directors have tasked a firm of consultants to carry out a cross-sectional</t>
  </si>
  <si>
    <t>analysis of the financial statements of the two potential target companies which operate in the same industry sector.</t>
  </si>
  <si>
    <t>The financial statements of the two entities as at 30 September 2024 are shown below:</t>
  </si>
  <si>
    <t>Statement of profit or loss for the year ended 30 Septemebr 2024:</t>
  </si>
  <si>
    <t>Remi Ltd.</t>
  </si>
  <si>
    <t>Popino Ltd.</t>
  </si>
  <si>
    <t>Sh.''000''</t>
  </si>
  <si>
    <t>Distribution costs</t>
  </si>
  <si>
    <t>Administrative expenses</t>
  </si>
  <si>
    <t>Statement of financial position as at 30 September  2024:</t>
  </si>
  <si>
    <t>Property</t>
  </si>
  <si>
    <t>Owned plant</t>
  </si>
  <si>
    <t>Right of use of  asset</t>
  </si>
  <si>
    <t>Bank</t>
  </si>
  <si>
    <t>Ordinary share capital (Sh.10 par value)</t>
  </si>
  <si>
    <t>Revaluation surplus</t>
  </si>
  <si>
    <t>Total equity</t>
  </si>
  <si>
    <t>Lease liability</t>
  </si>
  <si>
    <t>10% loans</t>
  </si>
  <si>
    <t>(a)         Common size statements of profit or loss for the two entities for the year ended 30  September 2024.</t>
  </si>
  <si>
    <t xml:space="preserve">       (8 marks)</t>
  </si>
  <si>
    <t>(b)         Common size statements of financial position as at 30 September 2024.</t>
  </si>
  <si>
    <t xml:space="preserve">     (10 marks)</t>
  </si>
  <si>
    <t>(c)         Advise the directors of Wakwi Limited on the best company for take over.</t>
  </si>
  <si>
    <t xml:space="preserve">       (2 marks)</t>
  </si>
  <si>
    <t xml:space="preserve">      (Total: 20 marks)</t>
  </si>
  <si>
    <t xml:space="preserve">        CA35P page 5</t>
  </si>
  <si>
    <t xml:space="preserve">        Out of 9</t>
  </si>
  <si>
    <t>QUESTION 21</t>
  </si>
  <si>
    <t>The following financial statements relate to Z Limited  for the year ended 31 December 2024:</t>
  </si>
  <si>
    <t>Z Limited</t>
  </si>
  <si>
    <t>Statement of profit or loss for the year ended 31 December 2024</t>
  </si>
  <si>
    <t>Sh."000"</t>
  </si>
  <si>
    <t>Revenue (Sales of goods)</t>
  </si>
  <si>
    <t>Cost of Sales:</t>
  </si>
  <si>
    <t>Opening inventory</t>
  </si>
  <si>
    <t>Purchases</t>
  </si>
  <si>
    <t>Closing inventory</t>
  </si>
  <si>
    <t>Cost of goods sold (Cost of sales)</t>
  </si>
  <si>
    <t>Other expenses:</t>
  </si>
  <si>
    <t>Distribution expenses</t>
  </si>
  <si>
    <t>Earnings Before Interest, Tax, Depreciation and Amortisation</t>
  </si>
  <si>
    <t>Depreciation and amortisation</t>
  </si>
  <si>
    <t>Earnings Before Interest and Tax</t>
  </si>
  <si>
    <t>Earnings Before Tax</t>
  </si>
  <si>
    <t>Earnings After Tax (Net Income)</t>
  </si>
  <si>
    <t>Dividends paid</t>
  </si>
  <si>
    <t>Retained profit for the period</t>
  </si>
  <si>
    <t>Retained profit b/f</t>
  </si>
  <si>
    <t>Retained profit c/f</t>
  </si>
  <si>
    <t>Statement of financial position as at 31 December 2024</t>
  </si>
  <si>
    <t>Non-current assets</t>
  </si>
  <si>
    <t>Cash at bank and in hand</t>
  </si>
  <si>
    <t xml:space="preserve">Ordinary share capital </t>
  </si>
  <si>
    <t>Share premium</t>
  </si>
  <si>
    <t>Retained profits</t>
  </si>
  <si>
    <t xml:space="preserve">Total capital </t>
  </si>
  <si>
    <t>Non-curret liabilities:</t>
  </si>
  <si>
    <t>Long-term bank loans</t>
  </si>
  <si>
    <t>Total liabilities</t>
  </si>
  <si>
    <t>You are required to prepare the forecast financial statements for the next five years commencing 2025, given the following assumptions:</t>
  </si>
  <si>
    <t>For the statement of profit or loss assume:</t>
  </si>
  <si>
    <t xml:space="preserve">1.     Revenue and purchases are expected to grow at the rate of 10% per annum. </t>
  </si>
  <si>
    <t xml:space="preserve">2.     Gross profit is 30% of revenue. (This will make it easier to determine closing inventory) </t>
  </si>
  <si>
    <t>3.     Administration expenses will grow at the rate of 5% per annum.</t>
  </si>
  <si>
    <t>4.     Selling and distribution expenses will likely grow at the rate of 10% per annum in line with revenue.</t>
  </si>
  <si>
    <t>5.     Depreciation and amortisation is on average 10% of previous period non-current assets.</t>
  </si>
  <si>
    <t>6.     Interest expense is 10% of end of last period balance of the long term loans.</t>
  </si>
  <si>
    <t>7.     Income tax expense is 30% of the profit before tax.</t>
  </si>
  <si>
    <t>8.     Dividends is given as 40% of profit after tax.</t>
  </si>
  <si>
    <t>For the statement of financial position assume:</t>
  </si>
  <si>
    <t>1.     Non-current assets are expected to grow at the rate of  5% annually.</t>
  </si>
  <si>
    <t>2.     Inventory is determined from the profit or loss.</t>
  </si>
  <si>
    <t xml:space="preserve">3.     Trade receivables will be 2 months of credit sales. </t>
  </si>
  <si>
    <t>4.     Cash at bank are expected to grow at Sh.50,000 per year.</t>
  </si>
  <si>
    <t xml:space="preserve">5.     Share capital and share premium will remain constant over the period. </t>
  </si>
  <si>
    <t>6.     The longterm bank loan will be the balancing figure in the statement of financial position.</t>
  </si>
  <si>
    <t xml:space="preserve">7.     Trade payables are 2 months of purchases. </t>
  </si>
  <si>
    <t xml:space="preserve">8.     Tax payable is 60% of the tax expense. </t>
  </si>
  <si>
    <t xml:space="preserve">9.     Share price is expected to grow at  the rate of 5% per annum. </t>
  </si>
  <si>
    <t xml:space="preserve">(a)       The forecast statement of profit or loss for the five years from 2025 to 2029. </t>
  </si>
  <si>
    <t xml:space="preserve">  (10 marks)</t>
  </si>
  <si>
    <t xml:space="preserve">(b)     The statement of financial position for the five years from 2025 to 2029. </t>
  </si>
  <si>
    <t>CA35P page 6</t>
  </si>
  <si>
    <t>You are a financial analyst tasked with modelling the financial performance of Evolve Autoworks Ltd., a leading player in the automotive industry. The company is currently being</t>
  </si>
  <si>
    <t xml:space="preserve"> evaluated for acquisition by a private equity (PE) firm.</t>
  </si>
  <si>
    <t>The financial information provided below corresponds to Year 0, the base year:</t>
  </si>
  <si>
    <t>(i)</t>
  </si>
  <si>
    <t>Revenue: Sh.900 million.</t>
  </si>
  <si>
    <t>Cost of goods sold (COGS): Sh.350 million.</t>
  </si>
  <si>
    <t>Operating expenses: Sh.120 million.</t>
  </si>
  <si>
    <t>Earnings before interest, tax, depreciation and amortisation (EBITDA) multiple for acquisition valuation: 5.5x EBITDA.</t>
  </si>
  <si>
    <t>Acquisition financing structure: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</si>
  <si>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  40% senior debt, to be repaid in equal annual payments over 10 years.</t>
    </r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</si>
  <si>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  <charset val="2"/>
      </rPr>
      <t xml:space="preserve">    20% mezzanine debt, to be repaid in equal annual payments over 8 years.</t>
    </r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</si>
  <si>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  <charset val="2"/>
      </rPr>
      <t xml:space="preserve">    40% equity contribution.</t>
    </r>
  </si>
  <si>
    <t>(vi)</t>
  </si>
  <si>
    <t>Corporate tax rate: 30%.</t>
  </si>
  <si>
    <t>(vii)</t>
  </si>
  <si>
    <t>Capital expenditure (CapEx): 2.5% of annual revenue.</t>
  </si>
  <si>
    <t>Additional assumptions for financial projections:</t>
  </si>
  <si>
    <t>1 .</t>
  </si>
  <si>
    <t>Revenue is expected to grow at an annual rate of 10% over the next five years.</t>
  </si>
  <si>
    <t>2 .</t>
  </si>
  <si>
    <t>The COGS will remain a fixed percentage of revenue, maintaining a 58.33% ratio.</t>
  </si>
  <si>
    <t>3 .</t>
  </si>
  <si>
    <t>Operating expenses will increase annually by 5% to reflect inflation and business expansion costs.</t>
  </si>
  <si>
    <t>4 .</t>
  </si>
  <si>
    <t>The company will account for depreciation and amortisation at a rate of 5% of revenue each year.</t>
  </si>
  <si>
    <t>5 .</t>
  </si>
  <si>
    <t>The working capital investment required to support business growth will be 10% of the annual revenue increase.</t>
  </si>
  <si>
    <t>6 .</t>
  </si>
  <si>
    <t>The cost of debt financing is structured as follows:</t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</si>
  <si>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  Senior debt interest rate: 12.5% per annum.</t>
    </r>
  </si>
  <si>
    <r>
      <rPr>
        <sz val="12"/>
        <color theme="1"/>
        <rFont val="Symbol"/>
        <family val="1"/>
        <charset val="2"/>
      </rPr>
      <t>·</t>
    </r>
    <r>
      <rPr>
        <sz val="12"/>
        <color theme="1"/>
        <rFont val="Times New Roman"/>
        <family val="1"/>
      </rPr>
      <t xml:space="preserve">    Mezzanine debt interest rate: 17.5% per annum.</t>
    </r>
  </si>
  <si>
    <t>7 .</t>
  </si>
  <si>
    <t>No dividend distributions or additional equity issuances are planned during the projection period.</t>
  </si>
  <si>
    <t>Working capital assumptions:</t>
  </si>
  <si>
    <t xml:space="preserve">· </t>
  </si>
  <si>
    <t>Accounts receivable: 10% of revenue.</t>
  </si>
  <si>
    <t>Inventory: 10% of COGS.</t>
  </si>
  <si>
    <t>Accounts payable: 20% of COGS.</t>
  </si>
  <si>
    <t xml:space="preserve">Prepare a detailed five-year statement of profit or loss incorporating all relevant financial entries based on the provided assumptions. Ensure that revenue growth, cost </t>
  </si>
  <si>
    <t xml:space="preserve">structures, operating expenses, interest expenses, taxes and net income are accurately accounted for. </t>
  </si>
  <si>
    <t>(10 marks)</t>
  </si>
  <si>
    <t>(b)</t>
  </si>
  <si>
    <t>Calculate the Free Cash Flow to Equity (FCFE) for each year using the projected financial statements, ensuring accurate adjustments and deductions.</t>
  </si>
  <si>
    <t xml:space="preserve">(c) </t>
  </si>
  <si>
    <t>Construct a structured private equity fund waterfall model illustrating how cash flows will be allocated between Limited Partners (LPs) and General Partners (GPs) after</t>
  </si>
  <si>
    <t xml:space="preserve">accounting for the preferred return of 8% annually. </t>
  </si>
  <si>
    <t>(Total: 30 marks)</t>
  </si>
  <si>
    <t>CF36P Page 5</t>
  </si>
  <si>
    <t xml:space="preserve">       Out of 8</t>
  </si>
  <si>
    <t xml:space="preserve">       </t>
  </si>
  <si>
    <t xml:space="preserve">Answer only ONE (1) question in this section. </t>
  </si>
  <si>
    <t>QUESTION 24:</t>
  </si>
  <si>
    <t>You have a new audit client, Miriam Akello, who began a dental practice at AMK Doctors' Plaza in the year 2023.</t>
  </si>
  <si>
    <t>The following transactions took place during the year ended 31 December 2023:</t>
  </si>
  <si>
    <t xml:space="preserve">1.     Miriam opened a separate bank account for the practice and deposited Sh.5 million as capital.In addition, she obtained a loan from the bank </t>
  </si>
  <si>
    <t xml:space="preserve">        amounting to Sh.5 million at an interest rate of 12% annually. The loan will be paid over a 5 year period at Sh.1 million annually,  together with  </t>
  </si>
  <si>
    <t xml:space="preserve">        interest due at the end of each year. </t>
  </si>
  <si>
    <t>2.     Miriam imported three dental equipment at a price of Sh.600,000 each and incurred freight, insurance and port clearance costs of Sh.200,000.</t>
  </si>
  <si>
    <t xml:space="preserve">        The equipment is depreciated over five years. </t>
  </si>
  <si>
    <t>3.    Miriam also bought other equipment for Sh.1 million, furniture and fixtures for Sh.2 million and dental books worth Sh.500,000. Both the equipment</t>
  </si>
  <si>
    <t xml:space="preserve">       and furniture were to be depreciated over 8 years, while the dental books have a useful life  of 5 years for the purpose of amortisation. </t>
  </si>
  <si>
    <t>4.    Miriam hired a dental assistant, who also doubled as the clinic administrator at Sh.60,000 monthly salary,  a receptionist, carrying out  other clerical duties</t>
  </si>
  <si>
    <t xml:space="preserve">       at Sh.30,000 per month and a cleaner/casual at Sh.15,000 per month. They all began employment on 1 January 2023.</t>
  </si>
  <si>
    <t xml:space="preserve">5.    Miriam also hired the services of two other dentists to serve the increased number of patients or when she was visiting another hospital for consultation. </t>
  </si>
  <si>
    <t xml:space="preserve">       During the year, the two dentists were paid for professional services at Sh.2 million.  In addition, Miriam offered some interns learning  </t>
  </si>
  <si>
    <t xml:space="preserve">       opportunities and paid them a total stipend of Sh.300,000. </t>
  </si>
  <si>
    <t>6.    During the year, patients paid Sh.6 million in cash, while those on various insurance and medical covers were treated at a total of Sh.4 million.</t>
  </si>
  <si>
    <t xml:space="preserve">       By the end of the year, the corporates and insurance companies had paid Sh.2.8 million directly into the business bank account. Miriam also noted</t>
  </si>
  <si>
    <t xml:space="preserve">       that a client owing Sh.200,000 became bankrupt and would likely not pay, while the balance had nearly 0% probability of default. </t>
  </si>
  <si>
    <t>7.   The cash that was received was banked but after paying for the following items:</t>
  </si>
  <si>
    <t xml:space="preserve">       ●     Surgical and prescription medicine Sh.500,000</t>
  </si>
  <si>
    <t xml:space="preserve">       ●     Stationery Sh.40,000</t>
  </si>
  <si>
    <t xml:space="preserve">       ●     Cleaning consumables Sh.20,000</t>
  </si>
  <si>
    <t xml:space="preserve">      Cash drawings for personal use by Miriam averaged Sh.40,000 per month. By the end of the year, only Sh.120,000 was available in the office safe.</t>
  </si>
  <si>
    <t xml:space="preserve">8.    Majority of transactions took place in the bank, except for the one highlighted in note 7. </t>
  </si>
  <si>
    <t xml:space="preserve">       Miriam placed some amount in a fixed deposit account and earned interest of Sh.120,000. Other expenses were mainly salaries to staff, interest on loan, rent </t>
  </si>
  <si>
    <t xml:space="preserve">       of Sh.100,000 per month, electricity and water worth Sh.60,000 for 11 months to 30 November 2023. She also paid Sh.30,000 as subscriptions to the </t>
  </si>
  <si>
    <t xml:space="preserve">       dental association.</t>
  </si>
  <si>
    <t xml:space="preserve">       Note that Miriam had paid 3 months' deposit on rent, which was refundable upon the termination of the lease. </t>
  </si>
  <si>
    <t xml:space="preserve">       Miriam also drew Sh.60,000 every month for personal expenses from the bank. Meanwhile, the electricity and water bills for December 2023</t>
  </si>
  <si>
    <r>
      <t xml:space="preserve">       had not been paid, but were subsequently received and settled in January</t>
    </r>
    <r>
      <rPr>
        <sz val="12"/>
        <rFont val="Times New Roman"/>
        <family val="1"/>
      </rPr>
      <t xml:space="preserve"> 2024</t>
    </r>
    <r>
      <rPr>
        <sz val="12"/>
        <color theme="1"/>
        <rFont val="Times New Roman"/>
        <family val="1"/>
      </rPr>
      <t xml:space="preserve"> at sh 4500</t>
    </r>
  </si>
  <si>
    <t>9.    Miriam bought surgical and prescription medicine worth Sh.1.5 million on credit. By the end of the year, she had already paid Sh.800,000 of the amount</t>
  </si>
  <si>
    <t xml:space="preserve">       owing while surgical and prescription medicine worth Sh.400,000 was available by the end of the year. </t>
  </si>
  <si>
    <t>Prepare the 3 financial statements</t>
  </si>
  <si>
    <t>Income statements</t>
  </si>
  <si>
    <t>Statement of financial position</t>
  </si>
  <si>
    <t>Statement of Cashflows</t>
  </si>
  <si>
    <t>(a)  With reference to the industry ratios, compute the equivalent ratios for Super Cars Limited for the year ended</t>
  </si>
  <si>
    <t>(b)  Using the ratios computed in (a) above, analyse the financial performance and position of Super Cars Limited for the year ended 31 December 2021 compared to the industry. (8 marks)</t>
  </si>
  <si>
    <t>2. The market price of Super Cars Limited's shares throughout the year averaged Sh.375 each.</t>
  </si>
  <si>
    <t>3.There were no issues or redemption of shares or loans during the year.</t>
  </si>
  <si>
    <t>4. Dividends paid during the year ended 31 December 2021 amounted to Sh.450,000, maintaining the same dividend paid in the year ended 31 December 2020.</t>
  </si>
  <si>
    <t>Amani Pharmaceuticals Limited is a mid-sized firm exploring prospects of future growth. The management of the company</t>
  </si>
  <si>
    <t>has prepared the statement of profit or loss for the year ended 30 June 2022 with forecasts of expected growth rates in the various</t>
  </si>
  <si>
    <t>line items for the next three years.</t>
  </si>
  <si>
    <t>This information is presented below:</t>
  </si>
  <si>
    <t>Amani Pharmaceuticals Limited</t>
  </si>
  <si>
    <t>Statement of profit or loss for the year ended 30 June 2022:</t>
  </si>
  <si>
    <t>Growth Rates: Scenario</t>
  </si>
  <si>
    <t>Worst</t>
  </si>
  <si>
    <t>Base</t>
  </si>
  <si>
    <t>Best</t>
  </si>
  <si>
    <t>Cost of goods sold</t>
  </si>
  <si>
    <t>Other incomes - Investment income</t>
  </si>
  <si>
    <t>Total Income</t>
  </si>
  <si>
    <t>Administration expenses</t>
  </si>
  <si>
    <t>Earnings before interest, tax, depreciation and amortisation</t>
  </si>
  <si>
    <t>Earnings before interest and tax</t>
  </si>
  <si>
    <t>Earnings before tax</t>
  </si>
  <si>
    <t>Profit after tax (for the period)</t>
  </si>
  <si>
    <t>Retained Profit for the year</t>
  </si>
  <si>
    <t>Retained Profit c/f</t>
  </si>
  <si>
    <t>1. Assume a corporation tax rate of 30%.</t>
  </si>
  <si>
    <t>2. The growth in equity is only attributable to changes in retained profits.</t>
  </si>
  <si>
    <t>Hint: In applying the growth rates, ignore changes in opening and closing balances.</t>
  </si>
  <si>
    <t>3. Total equity will grow only as a result of retained profits.</t>
  </si>
  <si>
    <t>(a) Prepare a spreadsheet showing the forecast statement of profit or loss for the next three years under each of the</t>
  </si>
  <si>
    <t>three scenarios.</t>
  </si>
  <si>
    <t>(b) Compute the following metrics for evaluating performance under each scenario:</t>
  </si>
  <si>
    <t>(i) Net profit margin.</t>
  </si>
  <si>
    <t>(ii) Return on assets.</t>
  </si>
  <si>
    <t>(iii) Return on equity.</t>
  </si>
  <si>
    <t>(c) Present a summarised dash board with suitable graphs to highlight the revenues and net profit under each scenario.</t>
  </si>
  <si>
    <t>net sales</t>
  </si>
  <si>
    <t>cost of sales</t>
  </si>
  <si>
    <t>gross profit margin=gross profit/sales</t>
  </si>
  <si>
    <t>gross profit mark-up=gross profit/cost of sales</t>
  </si>
  <si>
    <t>gross profit=sales-cost of sales</t>
  </si>
  <si>
    <t>Sales=gross profit+cost of sales</t>
  </si>
  <si>
    <t>cost of sales=sales-gross profit</t>
  </si>
  <si>
    <t>gross profit margin     a/b</t>
  </si>
  <si>
    <t>gross profit mark-up    a/b-a</t>
  </si>
  <si>
    <t>Gross profit/3000000</t>
  </si>
  <si>
    <t>.25=GP/3000000</t>
  </si>
  <si>
    <t>Net profit margin=net profit/net sales</t>
  </si>
  <si>
    <t>0.05=Net profit/3000000</t>
  </si>
  <si>
    <t>Net profit</t>
  </si>
  <si>
    <t>gross profit</t>
  </si>
  <si>
    <t>Less expenses</t>
  </si>
  <si>
    <t>2=net sales/debtors</t>
  </si>
  <si>
    <t>2=3000000/Debtors</t>
  </si>
  <si>
    <t>Debtors</t>
  </si>
  <si>
    <t>Inventory turnover=cost of sales/average inventory</t>
  </si>
  <si>
    <t>1.25=2250000/Closing stock</t>
  </si>
  <si>
    <t>Inventory turnover=cost of sales/Closing inventory</t>
  </si>
  <si>
    <t>Closing inventory=cost of sales/Inventory turnover</t>
  </si>
  <si>
    <t>Total assets=PAT/Return on total assets</t>
  </si>
  <si>
    <t>Net profit/PAT</t>
  </si>
  <si>
    <t>Return on total assets=Net profit/Total assets</t>
  </si>
  <si>
    <t>2%=150000/Total assets</t>
  </si>
  <si>
    <t>Total assets=150000/2%</t>
  </si>
  <si>
    <t>Fixed assets turnover=Sales/Fixed assets</t>
  </si>
  <si>
    <t>Fixed assets=3000000/0.8</t>
  </si>
  <si>
    <t>Fixed assets</t>
  </si>
  <si>
    <t>Current assets</t>
  </si>
  <si>
    <t>Fixed assets=sales/Fixed assets turnover</t>
  </si>
  <si>
    <t>Cash and cash equivalents/prepayments/income receivable</t>
  </si>
  <si>
    <t>Debt-asset ratio=total liabilities/total assets</t>
  </si>
  <si>
    <t>0.6=Total liabilities/7500000</t>
  </si>
  <si>
    <t>Total Liabilities=debt assest ratio*total assets</t>
  </si>
  <si>
    <t>Long term debts=total liabilities-Current liabilities</t>
  </si>
  <si>
    <t>Long-term debts</t>
  </si>
  <si>
    <t>tax expense</t>
  </si>
  <si>
    <t>tax expense 50%*PBT</t>
  </si>
  <si>
    <t>profit after tax</t>
  </si>
  <si>
    <t>Total expenses</t>
  </si>
  <si>
    <t>Tax expense</t>
  </si>
  <si>
    <t>INCOME STATEMENT</t>
  </si>
  <si>
    <t>operating expenses</t>
  </si>
  <si>
    <t>Add retained earnings b/d</t>
  </si>
  <si>
    <t>PPE</t>
  </si>
  <si>
    <t>other current assets</t>
  </si>
  <si>
    <t>TOTAL ASSETS</t>
  </si>
  <si>
    <t>EQUITY &amp; LIABILITIES</t>
  </si>
  <si>
    <t>EQUITY:</t>
  </si>
  <si>
    <t>Capital</t>
  </si>
  <si>
    <t>RESERVES</t>
  </si>
  <si>
    <t>NON-CURRENT LIABILITIES</t>
  </si>
  <si>
    <t>Long-term debt</t>
  </si>
  <si>
    <t>CURRENT LIABILTIES</t>
  </si>
  <si>
    <t>NON-CURRENT ASSETS</t>
  </si>
  <si>
    <t>CURRENT ASSETS</t>
  </si>
  <si>
    <t>CHECK</t>
  </si>
  <si>
    <t>total current liabilities</t>
  </si>
  <si>
    <t>check</t>
  </si>
  <si>
    <t>vertical analysis/common-size fs</t>
  </si>
  <si>
    <t>Debtors collection period</t>
  </si>
  <si>
    <t>Creditors payment period</t>
  </si>
  <si>
    <t>Assume a year has got 365 Days</t>
  </si>
  <si>
    <t>REVENUE 57% INCREASE</t>
  </si>
  <si>
    <t>Use 2020 VAR</t>
  </si>
  <si>
    <t>Use 2021 VAR</t>
  </si>
  <si>
    <t>Use 2022 VAR</t>
  </si>
  <si>
    <t>ASSUME THE RATION DOESNOT AFFECT TAX(use tax rate of 30%)</t>
  </si>
  <si>
    <t>Retained earnings c/d [SOFP]</t>
  </si>
  <si>
    <r>
      <t>A=P(1+r)</t>
    </r>
    <r>
      <rPr>
        <b/>
        <vertAlign val="superscript"/>
        <sz val="18"/>
        <color theme="1"/>
        <rFont val="Calibri"/>
        <family val="2"/>
        <scheme val="minor"/>
      </rPr>
      <t>n</t>
    </r>
  </si>
  <si>
    <r>
      <t>A/P=(1+r)</t>
    </r>
    <r>
      <rPr>
        <b/>
        <u val="double"/>
        <vertAlign val="superscript"/>
        <sz val="18"/>
        <color rgb="FF000000"/>
        <rFont val="Times New Roman"/>
        <family val="1"/>
      </rPr>
      <t>n</t>
    </r>
  </si>
  <si>
    <t>introduce</t>
  </si>
  <si>
    <t>Log(A/P)=nlog(1+r)</t>
  </si>
  <si>
    <t>[Log(A/p)]/n=log(1+r)</t>
  </si>
  <si>
    <t>A</t>
  </si>
  <si>
    <t>P</t>
  </si>
  <si>
    <t>n</t>
  </si>
  <si>
    <t>[Log(A/p)]/n</t>
  </si>
  <si>
    <t>log(1+r)=0.08805</t>
  </si>
  <si>
    <t>1+r= antilog 0.08805</t>
  </si>
  <si>
    <t>antilog</t>
  </si>
  <si>
    <t>1+r</t>
  </si>
  <si>
    <t>r</t>
  </si>
  <si>
    <t>CARGR</t>
  </si>
  <si>
    <t>POWER</t>
  </si>
  <si>
    <t>(A/P,1/n)-1</t>
  </si>
  <si>
    <t>share capital</t>
  </si>
  <si>
    <t>Retained profit b/d</t>
  </si>
  <si>
    <t>Retained Profit c/d</t>
  </si>
  <si>
    <t>worst case</t>
  </si>
  <si>
    <t>best case</t>
  </si>
  <si>
    <t>base case</t>
  </si>
  <si>
    <t>WORST</t>
  </si>
  <si>
    <t>BASE</t>
  </si>
  <si>
    <t>BEST</t>
  </si>
  <si>
    <t>EAT</t>
  </si>
  <si>
    <t>Details</t>
  </si>
  <si>
    <t>TR</t>
  </si>
  <si>
    <t>Assumptions</t>
  </si>
  <si>
    <t>Optimistic case</t>
  </si>
  <si>
    <t>Base case</t>
  </si>
  <si>
    <t>Pessimistic case</t>
  </si>
  <si>
    <t>(a)                 Calculate and interpret the following ratios:</t>
  </si>
  <si>
    <t>(iii)          Effective tax rate for the period 2019 to 2022.</t>
  </si>
  <si>
    <t>(b)      Now assume the following for Sepetuka Limited:</t>
  </si>
  <si>
    <t xml:space="preserve">1.         Revenue growth rates are forecast under three scenarios namely base case, optimistic case and pessimistic case.   </t>
  </si>
  <si>
    <t>Revenue growth rates</t>
  </si>
  <si>
    <t>Revenue growth rate</t>
  </si>
  <si>
    <t>COS</t>
  </si>
  <si>
    <t>GPM</t>
  </si>
  <si>
    <t>Opearating expenses</t>
  </si>
  <si>
    <t>revenue</t>
  </si>
  <si>
    <t>Depreciation expense</t>
  </si>
  <si>
    <t>Tax rate</t>
  </si>
  <si>
    <t>BASE CASE</t>
  </si>
  <si>
    <t>OPTIMISTIC</t>
  </si>
  <si>
    <t>PESSIMISTIC CASE</t>
  </si>
  <si>
    <t>SELECT THE SCENARIO</t>
  </si>
  <si>
    <t>c)statement of cashflows</t>
  </si>
  <si>
    <t>units produced</t>
  </si>
  <si>
    <t>Selling price</t>
  </si>
  <si>
    <t>salaries and benefits  (% of revenue)</t>
  </si>
  <si>
    <t>Rent and overhead expense</t>
  </si>
  <si>
    <t>Depreciation and amortization(% of PPE)</t>
  </si>
  <si>
    <t>Finance cost(% of debt)</t>
  </si>
  <si>
    <t>Accounts receivable days</t>
  </si>
  <si>
    <t>Inventory days</t>
  </si>
  <si>
    <t>Accounts payable days</t>
  </si>
  <si>
    <t>Capital expenditure</t>
  </si>
  <si>
    <t>Long-term loan</t>
  </si>
  <si>
    <t>cost of sales( % of revenue)</t>
  </si>
  <si>
    <t>Gross profit margin(% of revenue)</t>
  </si>
  <si>
    <t>Less Expenses</t>
  </si>
  <si>
    <t>salaries and benefits expense</t>
  </si>
  <si>
    <t>Depreciation and amortization</t>
  </si>
  <si>
    <t>Opening bal</t>
  </si>
  <si>
    <t>Additions</t>
  </si>
  <si>
    <t>total bal</t>
  </si>
  <si>
    <t>Bal c/d</t>
  </si>
  <si>
    <t>LOAN AMORTIZATION</t>
  </si>
  <si>
    <t>interest rate</t>
  </si>
  <si>
    <t>years</t>
  </si>
  <si>
    <t>PMT</t>
  </si>
  <si>
    <t>Opening balance</t>
  </si>
  <si>
    <t>Closing balance</t>
  </si>
  <si>
    <t>Installment(PMT)</t>
  </si>
  <si>
    <t>Interest expense(IPMT)</t>
  </si>
  <si>
    <t>principal(PPMT)</t>
  </si>
  <si>
    <t>NON CURRENT ASSETS</t>
  </si>
  <si>
    <t>EQUITY AND LIABILITIES</t>
  </si>
  <si>
    <t>EQUITY</t>
  </si>
  <si>
    <t>SHAREHOLDERS' EQUITY</t>
  </si>
  <si>
    <t>CURRENT LIABITIES</t>
  </si>
  <si>
    <t>TOTAL LIABILITIES</t>
  </si>
  <si>
    <t>TOTAL EQUITY AND  LIABILITIES</t>
  </si>
  <si>
    <t>Check</t>
  </si>
  <si>
    <t>Debtors collection period=(debtors/sales)*365 days</t>
  </si>
  <si>
    <t>30=(TR/sale)365</t>
  </si>
  <si>
    <t>30/365=TR/sale</t>
  </si>
  <si>
    <t>TR=(30/365)*SALES</t>
  </si>
  <si>
    <t>INVENTORY=(14/365)*cost of sales</t>
  </si>
  <si>
    <t>TP=(30/365)*Cost of sales</t>
  </si>
  <si>
    <t>cash and cash equivalents c/d</t>
  </si>
  <si>
    <t>Answer BOTH questions in this Section.</t>
  </si>
  <si>
    <t>Zeddy Limited has just completed its strategic plan for the next five years commencing 1 January 2023.   The company is optimistic</t>
  </si>
  <si>
    <t>about future performance and would like to prepare forecast financial statements for the years 2023 to 2027.</t>
  </si>
  <si>
    <t>The actual financial statements for the year ended 31 December 2022 with the projected growth rates are provided as follows:</t>
  </si>
  <si>
    <t>Statement of profit or loss for the year ended 31 December 2022:</t>
  </si>
  <si>
    <t xml:space="preserve">Annual growth rate in % </t>
  </si>
  <si>
    <t>Retained profit for the year</t>
  </si>
  <si>
    <t>Statement of financial position as at 31 December 2022:</t>
  </si>
  <si>
    <t>Assets</t>
  </si>
  <si>
    <t>Annual growth rate in %</t>
  </si>
  <si>
    <t>Non current assets:</t>
  </si>
  <si>
    <t>Cash and bank</t>
  </si>
  <si>
    <t>Ordinary share capital</t>
  </si>
  <si>
    <t>Non current liabilities:</t>
  </si>
  <si>
    <t>Bank loans</t>
  </si>
  <si>
    <t>1. Finance cost is 5% of the previous period's bank loans.</t>
  </si>
  <si>
    <t>2. Tax will be on average 25% of the profit before tax.</t>
  </si>
  <si>
    <t>3. The company will maintain the same dividend pay out.</t>
  </si>
  <si>
    <t xml:space="preserve">4. Apart from the beginning of year 2025 when the company will raise more equity comprising share capital Sh.500,000 and </t>
  </si>
  <si>
    <t xml:space="preserve">    Sh.100,000 share premium, the balancing figure in the financial statements is the bank loans.</t>
  </si>
  <si>
    <t>(a)  The forecast financial statements for each of the years from 2023 to 2027.</t>
  </si>
  <si>
    <t xml:space="preserve">                                                        </t>
  </si>
  <si>
    <t xml:space="preserve">              (18 marks)</t>
  </si>
  <si>
    <t>(b)  Construct appropriate graphs/charts that will appear in the company's dashboard summarising the following:</t>
  </si>
  <si>
    <t xml:space="preserve">      (i)     Revenue.</t>
  </si>
  <si>
    <t xml:space="preserve">      (ii)     Profit after tax.</t>
  </si>
  <si>
    <t xml:space="preserve">      (iii)    Total assets.</t>
  </si>
  <si>
    <t xml:space="preserve">      (iv)    Total equity.</t>
  </si>
  <si>
    <t xml:space="preserve">      (v)     Net profit margin.</t>
  </si>
  <si>
    <t xml:space="preserve">      (vi)    Debt ratio.</t>
  </si>
  <si>
    <t xml:space="preserve">              (Total: 30 marks)</t>
  </si>
  <si>
    <t>STATEMENT OF CASHFLOWS</t>
  </si>
  <si>
    <t>Operating activities</t>
  </si>
  <si>
    <t>PBT</t>
  </si>
  <si>
    <t>Adjustment for non-cash item</t>
  </si>
  <si>
    <t>Depreciation</t>
  </si>
  <si>
    <t>Cashflows before adjustment for WC</t>
  </si>
  <si>
    <t>Cashflows after adjustment for WC</t>
  </si>
  <si>
    <t>Tax paid</t>
  </si>
  <si>
    <t>Finance cost paid</t>
  </si>
  <si>
    <t>Net cashflows from/used in operating activities</t>
  </si>
  <si>
    <t>Investing activities</t>
  </si>
  <si>
    <t>Net cashflows from/used in investing activities</t>
  </si>
  <si>
    <t>Financing activities</t>
  </si>
  <si>
    <t>Issuing of capital</t>
  </si>
  <si>
    <t>Net cashflows from/used in financing activities</t>
  </si>
  <si>
    <t>Net changes in cash and csh equivalents</t>
  </si>
  <si>
    <t>Cash and cash equivalents b/d</t>
  </si>
  <si>
    <t>Cash and cash equivalents c/d</t>
  </si>
  <si>
    <t>Increase in Trade payables</t>
  </si>
  <si>
    <t>Incresae in Inventory</t>
  </si>
  <si>
    <t>Increase in Trade receivables</t>
  </si>
  <si>
    <t>Capex</t>
  </si>
  <si>
    <t>Redemption of loans</t>
  </si>
  <si>
    <t>Total Current liabilities</t>
  </si>
  <si>
    <t>TA=TE+CL+NCL</t>
  </si>
  <si>
    <t>NCL=TA-CL-TE</t>
  </si>
  <si>
    <t>Net profit margin.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</si>
</sst>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-* #,##0_-;\-* #,##0_-;_-* &quot;-&quot;??_-;_-@_-"/>
    <numFmt numFmtId="168" formatCode="0.000%"/>
    <numFmt numFmtId="169" formatCode="#,##0.00;\(#,##0.00\)"/>
    <numFmt numFmtId="170" formatCode="#,##0.00000"/>
    <numFmt numFmtId="171" formatCode="0.00000%"/>
    <numFmt numFmtId="172" formatCode="0.0000%"/>
    <numFmt numFmtId="173" formatCode="_-* #,##0.0_-;\-* #,##0.0_-;_-* &quot;-&quot;??_-;_-@"/>
    <numFmt numFmtId="174" formatCode="_-* #,##0_-;\-* #,##0_-;_-* &quot;-&quot;??_-;_-@"/>
    <numFmt numFmtId="175" formatCode="_-* #,##0.00_-;\-* #,##0.00_-;_-* &quot;-&quot;??_-;_-@"/>
    <numFmt numFmtId="180" formatCode="0.000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u/>
      <sz val="10"/>
      <color rgb="FF000000"/>
      <name val="Times New Roman"/>
      <family val="1"/>
    </font>
    <font>
      <b/>
      <u val="double"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u val="double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u val="singleAccounting"/>
      <sz val="18"/>
      <color theme="1"/>
      <name val="Times New Roman"/>
      <family val="1"/>
    </font>
    <font>
      <u val="doubleAccounting"/>
      <sz val="18"/>
      <color theme="1"/>
      <name val="Times New Roman"/>
      <family val="1"/>
    </font>
    <font>
      <u val="doubleAccounting"/>
      <sz val="14"/>
      <color theme="1"/>
      <name val="Times New Roman"/>
      <family val="1"/>
    </font>
    <font>
      <u/>
      <sz val="16"/>
      <color theme="1"/>
      <name val="Times New Roman"/>
      <family val="1"/>
    </font>
    <font>
      <u val="double"/>
      <sz val="16"/>
      <color theme="1"/>
      <name val="Times New Roman"/>
      <family val="1"/>
    </font>
    <font>
      <u val="singleAccounting"/>
      <sz val="12"/>
      <color theme="1"/>
      <name val="Times New Roman"/>
      <family val="1"/>
    </font>
    <font>
      <u val="doubleAccounting"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u val="singleAccounting"/>
      <sz val="12"/>
      <color theme="1"/>
      <name val="Times New Roman"/>
      <family val="1"/>
    </font>
    <font>
      <u val="doubleAccounting"/>
      <sz val="12"/>
      <color theme="1"/>
      <name val="Goudy Old Style"/>
      <family val="1"/>
    </font>
    <font>
      <b/>
      <u val="doubleAccounting"/>
      <sz val="12"/>
      <color theme="1"/>
      <name val="Times New Roman"/>
      <family val="1"/>
    </font>
    <font>
      <b/>
      <u val="double"/>
      <sz val="12"/>
      <color theme="1"/>
      <name val="Times New Roman"/>
      <family val="1"/>
    </font>
    <font>
      <sz val="12"/>
      <color theme="1"/>
      <name val="Times New Roman"/>
      <family val="1"/>
      <charset val="2"/>
    </font>
    <font>
      <sz val="12"/>
      <name val="Times New Roman"/>
      <family val="1"/>
    </font>
    <font>
      <sz val="18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b/>
      <u val="double"/>
      <sz val="18"/>
      <color rgb="FF000000"/>
      <name val="Times New Roman"/>
      <family val="1"/>
    </font>
    <font>
      <b/>
      <u val="double"/>
      <vertAlign val="superscript"/>
      <sz val="18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rgb="FFC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color rgb="FF000000"/>
      <name val="Times New Roman"/>
      <family val="1"/>
    </font>
    <font>
      <sz val="12"/>
      <color rgb="FF7030A0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</cellStyleXfs>
  <cellXfs count="245">
    <xf numFmtId="0" fontId="0" fillId="0" borderId="0" xfId="0"/>
    <xf numFmtId="10" fontId="0" fillId="0" borderId="0" xfId="1" applyNumberFormat="1" applyFont="1"/>
    <xf numFmtId="1" fontId="0" fillId="0" borderId="0" xfId="0" applyNumberFormat="1"/>
    <xf numFmtId="9" fontId="0" fillId="0" borderId="0" xfId="1" applyFont="1"/>
    <xf numFmtId="0" fontId="2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3" fontId="14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4" fillId="0" borderId="0" xfId="0" applyFont="1"/>
    <xf numFmtId="0" fontId="23" fillId="0" borderId="0" xfId="0" applyFont="1"/>
    <xf numFmtId="0" fontId="24" fillId="0" borderId="0" xfId="0" applyFont="1"/>
    <xf numFmtId="49" fontId="14" fillId="0" borderId="0" xfId="0" applyNumberFormat="1" applyFont="1" applyAlignment="1">
      <alignment horizontal="justify" vertical="center"/>
    </xf>
    <xf numFmtId="49" fontId="14" fillId="0" borderId="0" xfId="0" applyNumberFormat="1" applyFont="1" applyAlignment="1">
      <alignment horizontal="justify" vertical="top"/>
    </xf>
    <xf numFmtId="0" fontId="14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3" fontId="13" fillId="0" borderId="0" xfId="0" applyNumberFormat="1" applyFont="1"/>
    <xf numFmtId="166" fontId="14" fillId="0" borderId="0" xfId="2" applyNumberFormat="1" applyFont="1"/>
    <xf numFmtId="9" fontId="14" fillId="0" borderId="0" xfId="0" applyNumberFormat="1" applyFont="1"/>
    <xf numFmtId="165" fontId="14" fillId="0" borderId="0" xfId="0" applyNumberFormat="1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6" fillId="0" borderId="0" xfId="0" applyFont="1"/>
    <xf numFmtId="10" fontId="5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166" fontId="28" fillId="0" borderId="0" xfId="2" applyNumberFormat="1" applyFont="1" applyBorder="1"/>
    <xf numFmtId="166" fontId="29" fillId="0" borderId="0" xfId="2" applyNumberFormat="1" applyFont="1" applyBorder="1"/>
    <xf numFmtId="166" fontId="29" fillId="0" borderId="0" xfId="2" applyNumberFormat="1" applyFont="1" applyBorder="1" applyAlignment="1">
      <alignment horizontal="right"/>
    </xf>
    <xf numFmtId="166" fontId="30" fillId="0" borderId="0" xfId="2" applyNumberFormat="1" applyFont="1" applyBorder="1"/>
    <xf numFmtId="164" fontId="28" fillId="0" borderId="0" xfId="2" applyFont="1" applyBorder="1"/>
    <xf numFmtId="164" fontId="29" fillId="0" borderId="0" xfId="2" applyFont="1" applyBorder="1"/>
    <xf numFmtId="164" fontId="30" fillId="0" borderId="0" xfId="2" applyFont="1" applyBorder="1"/>
    <xf numFmtId="164" fontId="31" fillId="0" borderId="0" xfId="2" applyFont="1" applyBorder="1"/>
    <xf numFmtId="166" fontId="19" fillId="0" borderId="0" xfId="2" applyNumberFormat="1" applyFont="1" applyBorder="1"/>
    <xf numFmtId="0" fontId="21" fillId="0" borderId="0" xfId="0" applyFont="1" applyAlignment="1">
      <alignment horizontal="left"/>
    </xf>
    <xf numFmtId="166" fontId="28" fillId="0" borderId="0" xfId="2" applyNumberFormat="1" applyFont="1"/>
    <xf numFmtId="3" fontId="28" fillId="0" borderId="0" xfId="0" applyNumberFormat="1" applyFont="1"/>
    <xf numFmtId="164" fontId="28" fillId="0" borderId="0" xfId="2" applyFont="1"/>
    <xf numFmtId="10" fontId="28" fillId="0" borderId="0" xfId="2" applyNumberFormat="1" applyFont="1"/>
    <xf numFmtId="10" fontId="28" fillId="0" borderId="0" xfId="0" applyNumberFormat="1" applyFont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7" fontId="22" fillId="0" borderId="0" xfId="0" applyNumberFormat="1" applyFont="1" applyAlignment="1">
      <alignment horizontal="left"/>
    </xf>
    <xf numFmtId="167" fontId="22" fillId="0" borderId="0" xfId="2" applyNumberFormat="1" applyFont="1" applyAlignment="1">
      <alignment horizontal="center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167" fontId="22" fillId="0" borderId="0" xfId="2" applyNumberFormat="1" applyFont="1" applyAlignment="1">
      <alignment horizontal="right"/>
    </xf>
    <xf numFmtId="17" fontId="21" fillId="0" borderId="0" xfId="0" applyNumberFormat="1" applyFont="1"/>
    <xf numFmtId="17" fontId="22" fillId="0" borderId="0" xfId="0" applyNumberFormat="1" applyFont="1" applyAlignment="1">
      <alignment horizontal="center"/>
    </xf>
    <xf numFmtId="17" fontId="24" fillId="0" borderId="0" xfId="0" applyNumberFormat="1" applyFont="1"/>
    <xf numFmtId="0" fontId="24" fillId="0" borderId="0" xfId="0" applyFont="1" applyAlignment="1">
      <alignment horizontal="right"/>
    </xf>
    <xf numFmtId="167" fontId="22" fillId="0" borderId="0" xfId="2" applyNumberFormat="1" applyFont="1"/>
    <xf numFmtId="167" fontId="14" fillId="0" borderId="0" xfId="2" applyNumberFormat="1" applyFont="1"/>
    <xf numFmtId="167" fontId="32" fillId="0" borderId="0" xfId="2" applyNumberFormat="1" applyFont="1"/>
    <xf numFmtId="167" fontId="15" fillId="0" borderId="0" xfId="2" applyNumberFormat="1" applyFont="1"/>
    <xf numFmtId="17" fontId="21" fillId="0" borderId="0" xfId="0" applyNumberFormat="1" applyFont="1" applyAlignment="1">
      <alignment horizontal="right"/>
    </xf>
    <xf numFmtId="167" fontId="33" fillId="0" borderId="0" xfId="2" applyNumberFormat="1" applyFont="1"/>
    <xf numFmtId="167" fontId="16" fillId="0" borderId="0" xfId="2" applyNumberFormat="1" applyFont="1"/>
    <xf numFmtId="10" fontId="14" fillId="0" borderId="0" xfId="0" applyNumberFormat="1" applyFont="1"/>
    <xf numFmtId="0" fontId="24" fillId="0" borderId="0" xfId="0" applyFont="1" applyAlignment="1">
      <alignment wrapText="1"/>
    </xf>
    <xf numFmtId="43" fontId="14" fillId="0" borderId="0" xfId="0" applyNumberFormat="1" applyFont="1"/>
    <xf numFmtId="167" fontId="14" fillId="0" borderId="0" xfId="0" applyNumberFormat="1" applyFont="1"/>
    <xf numFmtId="167" fontId="34" fillId="0" borderId="0" xfId="0" applyNumberFormat="1" applyFont="1"/>
    <xf numFmtId="164" fontId="35" fillId="0" borderId="0" xfId="2" applyFont="1"/>
    <xf numFmtId="168" fontId="0" fillId="0" borderId="0" xfId="1" applyNumberFormat="1" applyFont="1"/>
    <xf numFmtId="166" fontId="0" fillId="0" borderId="0" xfId="2" applyNumberFormat="1" applyFont="1"/>
    <xf numFmtId="166" fontId="11" fillId="0" borderId="0" xfId="2" applyNumberFormat="1" applyFont="1"/>
    <xf numFmtId="1" fontId="17" fillId="0" borderId="0" xfId="0" applyNumberFormat="1" applyFont="1"/>
    <xf numFmtId="1" fontId="36" fillId="0" borderId="0" xfId="0" applyNumberFormat="1" applyFont="1"/>
    <xf numFmtId="1" fontId="2" fillId="0" borderId="0" xfId="0" applyNumberFormat="1" applyFont="1"/>
    <xf numFmtId="0" fontId="25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166" fontId="14" fillId="0" borderId="0" xfId="2" applyNumberFormat="1" applyFont="1" applyAlignment="1">
      <alignment horizontal="center"/>
    </xf>
    <xf numFmtId="166" fontId="34" fillId="0" borderId="0" xfId="2" applyNumberFormat="1" applyFont="1" applyBorder="1" applyAlignment="1">
      <alignment horizontal="center"/>
    </xf>
    <xf numFmtId="166" fontId="34" fillId="0" borderId="0" xfId="2" applyNumberFormat="1" applyFont="1" applyAlignment="1">
      <alignment horizontal="center"/>
    </xf>
    <xf numFmtId="166" fontId="34" fillId="0" borderId="0" xfId="2" applyNumberFormat="1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166" fontId="14" fillId="0" borderId="0" xfId="2" applyNumberFormat="1" applyFont="1" applyBorder="1" applyAlignment="1">
      <alignment horizontal="center"/>
    </xf>
    <xf numFmtId="166" fontId="37" fillId="0" borderId="0" xfId="2" applyNumberFormat="1" applyFont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164" fontId="14" fillId="0" borderId="0" xfId="2" applyFont="1" applyAlignment="1">
      <alignment horizontal="left" vertical="center"/>
    </xf>
    <xf numFmtId="164" fontId="24" fillId="0" borderId="0" xfId="2" applyFont="1" applyAlignment="1">
      <alignment horizontal="left" vertical="center"/>
    </xf>
    <xf numFmtId="164" fontId="34" fillId="0" borderId="0" xfId="2" applyFont="1" applyAlignment="1">
      <alignment horizontal="left" vertical="center"/>
    </xf>
    <xf numFmtId="169" fontId="15" fillId="0" borderId="0" xfId="0" applyNumberFormat="1" applyFont="1" applyAlignment="1">
      <alignment horizontal="right"/>
    </xf>
    <xf numFmtId="169" fontId="15" fillId="0" borderId="0" xfId="0" applyNumberFormat="1" applyFont="1"/>
    <xf numFmtId="169" fontId="14" fillId="0" borderId="0" xfId="0" applyNumberFormat="1" applyFont="1"/>
    <xf numFmtId="169" fontId="16" fillId="0" borderId="0" xfId="0" applyNumberFormat="1" applyFont="1"/>
    <xf numFmtId="164" fontId="24" fillId="0" borderId="0" xfId="2" applyFont="1" applyBorder="1" applyAlignment="1">
      <alignment horizontal="left" vertical="center"/>
    </xf>
    <xf numFmtId="164" fontId="14" fillId="0" borderId="0" xfId="2" applyFont="1" applyBorder="1"/>
    <xf numFmtId="164" fontId="14" fillId="0" borderId="0" xfId="3" applyFont="1" applyFill="1"/>
    <xf numFmtId="164" fontId="34" fillId="0" borderId="0" xfId="3" applyFont="1" applyFill="1"/>
    <xf numFmtId="164" fontId="14" fillId="0" borderId="0" xfId="2" applyFont="1"/>
    <xf numFmtId="43" fontId="34" fillId="0" borderId="0" xfId="0" applyNumberFormat="1" applyFont="1"/>
    <xf numFmtId="43" fontId="38" fillId="0" borderId="0" xfId="0" applyNumberFormat="1" applyFont="1"/>
    <xf numFmtId="0" fontId="24" fillId="0" borderId="0" xfId="0" applyFont="1" applyAlignment="1">
      <alignment horizontal="left" vertical="top"/>
    </xf>
    <xf numFmtId="43" fontId="39" fillId="0" borderId="0" xfId="0" applyNumberFormat="1" applyFont="1"/>
    <xf numFmtId="43" fontId="37" fillId="0" borderId="0" xfId="0" applyNumberFormat="1" applyFont="1"/>
    <xf numFmtId="164" fontId="37" fillId="0" borderId="0" xfId="3" applyFont="1" applyFill="1"/>
    <xf numFmtId="164" fontId="39" fillId="0" borderId="0" xfId="3" applyFont="1" applyFill="1"/>
    <xf numFmtId="164" fontId="24" fillId="0" borderId="0" xfId="3" applyFont="1" applyFill="1"/>
    <xf numFmtId="169" fontId="40" fillId="0" borderId="0" xfId="0" applyNumberFormat="1" applyFont="1"/>
    <xf numFmtId="169" fontId="24" fillId="0" borderId="0" xfId="0" applyNumberFormat="1" applyFont="1"/>
    <xf numFmtId="169" fontId="24" fillId="0" borderId="0" xfId="3" applyNumberFormat="1" applyFont="1" applyFill="1"/>
    <xf numFmtId="166" fontId="0" fillId="0" borderId="0" xfId="2" applyNumberFormat="1" applyFont="1" applyAlignment="1">
      <alignment horizontal="center"/>
    </xf>
    <xf numFmtId="166" fontId="2" fillId="0" borderId="0" xfId="2" applyNumberFormat="1" applyFont="1" applyAlignment="1">
      <alignment horizontal="center"/>
    </xf>
    <xf numFmtId="166" fontId="2" fillId="0" borderId="1" xfId="2" applyNumberFormat="1" applyFont="1" applyBorder="1" applyAlignment="1">
      <alignment horizontal="center"/>
    </xf>
    <xf numFmtId="10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166" fontId="2" fillId="0" borderId="0" xfId="2" applyNumberFormat="1" applyFont="1"/>
    <xf numFmtId="12" fontId="14" fillId="0" borderId="0" xfId="0" applyNumberFormat="1" applyFont="1"/>
    <xf numFmtId="12" fontId="14" fillId="0" borderId="0" xfId="2" applyNumberFormat="1" applyFont="1"/>
    <xf numFmtId="166" fontId="14" fillId="0" borderId="0" xfId="0" applyNumberFormat="1" applyFont="1"/>
    <xf numFmtId="0" fontId="14" fillId="0" borderId="0" xfId="2" applyNumberFormat="1" applyFont="1"/>
    <xf numFmtId="166" fontId="14" fillId="2" borderId="0" xfId="2" applyNumberFormat="1" applyFont="1" applyFill="1"/>
    <xf numFmtId="166" fontId="24" fillId="0" borderId="0" xfId="0" applyNumberFormat="1" applyFont="1"/>
    <xf numFmtId="166" fontId="24" fillId="0" borderId="1" xfId="0" applyNumberFormat="1" applyFont="1" applyBorder="1"/>
    <xf numFmtId="166" fontId="24" fillId="0" borderId="0" xfId="2" applyNumberFormat="1" applyFont="1"/>
    <xf numFmtId="10" fontId="24" fillId="0" borderId="0" xfId="1" applyNumberFormat="1" applyFont="1" applyAlignment="1">
      <alignment horizontal="left" vertical="center"/>
    </xf>
    <xf numFmtId="10" fontId="14" fillId="0" borderId="0" xfId="1" applyNumberFormat="1" applyFont="1" applyAlignment="1">
      <alignment horizontal="left" vertical="center"/>
    </xf>
    <xf numFmtId="1" fontId="23" fillId="0" borderId="0" xfId="0" applyNumberFormat="1" applyFont="1"/>
    <xf numFmtId="10" fontId="2" fillId="0" borderId="1" xfId="1" applyNumberFormat="1" applyFont="1" applyBorder="1"/>
    <xf numFmtId="9" fontId="5" fillId="0" borderId="0" xfId="1" applyFont="1" applyAlignment="1">
      <alignment horizontal="right" vertical="center"/>
    </xf>
    <xf numFmtId="10" fontId="9" fillId="0" borderId="0" xfId="1" applyNumberFormat="1" applyFont="1" applyAlignment="1">
      <alignment horizontal="right" vertical="center"/>
    </xf>
    <xf numFmtId="9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8" fontId="26" fillId="0" borderId="0" xfId="1" applyNumberFormat="1" applyFont="1"/>
    <xf numFmtId="3" fontId="45" fillId="0" borderId="0" xfId="0" applyNumberFormat="1" applyFont="1" applyAlignment="1">
      <alignment horizontal="right" vertical="center"/>
    </xf>
    <xf numFmtId="0" fontId="47" fillId="0" borderId="0" xfId="0" applyFont="1" applyAlignment="1">
      <alignment horizontal="center"/>
    </xf>
    <xf numFmtId="3" fontId="7" fillId="0" borderId="0" xfId="0" applyNumberFormat="1" applyFont="1"/>
    <xf numFmtId="170" fontId="5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0" fontId="43" fillId="0" borderId="0" xfId="0" applyFont="1"/>
    <xf numFmtId="9" fontId="14" fillId="0" borderId="0" xfId="1" applyFont="1"/>
    <xf numFmtId="9" fontId="24" fillId="0" borderId="0" xfId="1" applyFont="1"/>
    <xf numFmtId="1" fontId="14" fillId="0" borderId="0" xfId="1" applyNumberFormat="1" applyFont="1"/>
    <xf numFmtId="1" fontId="24" fillId="0" borderId="0" xfId="0" applyNumberFormat="1" applyFont="1"/>
    <xf numFmtId="1" fontId="14" fillId="0" borderId="0" xfId="0" applyNumberFormat="1" applyFont="1"/>
    <xf numFmtId="10" fontId="16" fillId="0" borderId="0" xfId="1" applyNumberFormat="1" applyFont="1" applyAlignment="1">
      <alignment horizontal="right" vertical="center"/>
    </xf>
    <xf numFmtId="168" fontId="16" fillId="0" borderId="0" xfId="1" applyNumberFormat="1" applyFont="1" applyAlignment="1">
      <alignment horizontal="right" vertical="center"/>
    </xf>
    <xf numFmtId="2" fontId="14" fillId="0" borderId="0" xfId="1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3" fontId="23" fillId="0" borderId="0" xfId="0" applyNumberFormat="1" applyFont="1"/>
    <xf numFmtId="0" fontId="1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71" fontId="23" fillId="0" borderId="0" xfId="1" applyNumberFormat="1" applyFont="1"/>
    <xf numFmtId="10" fontId="23" fillId="0" borderId="0" xfId="1" applyNumberFormat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5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49" fillId="0" borderId="0" xfId="0" applyFont="1"/>
    <xf numFmtId="10" fontId="13" fillId="0" borderId="0" xfId="0" applyNumberFormat="1" applyFont="1" applyAlignment="1">
      <alignment vertical="center"/>
    </xf>
    <xf numFmtId="10" fontId="23" fillId="0" borderId="0" xfId="0" applyNumberFormat="1" applyFont="1"/>
    <xf numFmtId="9" fontId="23" fillId="0" borderId="0" xfId="0" applyNumberFormat="1" applyFont="1"/>
    <xf numFmtId="2" fontId="23" fillId="0" borderId="0" xfId="1" applyNumberFormat="1" applyFont="1"/>
    <xf numFmtId="10" fontId="13" fillId="0" borderId="0" xfId="1" applyNumberFormat="1" applyFont="1" applyAlignment="1">
      <alignment vertical="center"/>
    </xf>
    <xf numFmtId="171" fontId="23" fillId="0" borderId="0" xfId="0" applyNumberFormat="1" applyFont="1"/>
    <xf numFmtId="0" fontId="50" fillId="0" borderId="0" xfId="0" applyFont="1"/>
    <xf numFmtId="10" fontId="50" fillId="0" borderId="0" xfId="1" applyNumberFormat="1" applyFont="1"/>
    <xf numFmtId="10" fontId="50" fillId="0" borderId="0" xfId="0" applyNumberFormat="1" applyFont="1"/>
    <xf numFmtId="166" fontId="23" fillId="0" borderId="0" xfId="2" applyNumberFormat="1" applyFont="1"/>
    <xf numFmtId="166" fontId="23" fillId="0" borderId="2" xfId="2" applyNumberFormat="1" applyFont="1" applyBorder="1"/>
    <xf numFmtId="166" fontId="23" fillId="0" borderId="0" xfId="2" applyNumberFormat="1" applyFont="1" applyBorder="1"/>
    <xf numFmtId="166" fontId="23" fillId="0" borderId="3" xfId="2" applyNumberFormat="1" applyFont="1" applyBorder="1"/>
    <xf numFmtId="172" fontId="23" fillId="0" borderId="0" xfId="0" applyNumberFormat="1" applyFont="1"/>
    <xf numFmtId="0" fontId="23" fillId="0" borderId="4" xfId="0" applyFont="1" applyBorder="1"/>
    <xf numFmtId="166" fontId="23" fillId="0" borderId="4" xfId="2" applyNumberFormat="1" applyFont="1" applyBorder="1"/>
    <xf numFmtId="0" fontId="51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164" fontId="14" fillId="0" borderId="0" xfId="2" applyNumberFormat="1" applyFont="1"/>
    <xf numFmtId="166" fontId="13" fillId="0" borderId="0" xfId="2" applyNumberFormat="1" applyFont="1"/>
    <xf numFmtId="166" fontId="12" fillId="0" borderId="0" xfId="2" applyNumberFormat="1" applyFont="1"/>
    <xf numFmtId="1" fontId="12" fillId="0" borderId="0" xfId="0" applyNumberFormat="1" applyFont="1"/>
    <xf numFmtId="40" fontId="24" fillId="0" borderId="0" xfId="0" applyNumberFormat="1" applyFont="1"/>
    <xf numFmtId="0" fontId="52" fillId="0" borderId="0" xfId="0" applyFont="1"/>
    <xf numFmtId="166" fontId="52" fillId="0" borderId="0" xfId="2" applyNumberFormat="1" applyFont="1"/>
    <xf numFmtId="1" fontId="24" fillId="0" borderId="0" xfId="2" applyNumberFormat="1" applyFont="1"/>
    <xf numFmtId="166" fontId="13" fillId="0" borderId="0" xfId="0" applyNumberFormat="1" applyFont="1"/>
    <xf numFmtId="3" fontId="24" fillId="0" borderId="0" xfId="0" applyNumberFormat="1" applyFont="1"/>
    <xf numFmtId="0" fontId="24" fillId="0" borderId="0" xfId="0" applyFont="1" applyAlignment="1">
      <alignment horizontal="center"/>
    </xf>
    <xf numFmtId="173" fontId="14" fillId="0" borderId="0" xfId="0" applyNumberFormat="1" applyFont="1"/>
    <xf numFmtId="174" fontId="24" fillId="0" borderId="0" xfId="0" applyNumberFormat="1" applyFont="1"/>
    <xf numFmtId="174" fontId="14" fillId="0" borderId="0" xfId="0" applyNumberFormat="1" applyFont="1"/>
    <xf numFmtId="0" fontId="53" fillId="0" borderId="0" xfId="0" applyFont="1"/>
    <xf numFmtId="166" fontId="53" fillId="0" borderId="0" xfId="0" applyNumberFormat="1" applyFont="1"/>
    <xf numFmtId="3" fontId="12" fillId="0" borderId="1" xfId="0" applyNumberFormat="1" applyFont="1" applyBorder="1"/>
    <xf numFmtId="0" fontId="24" fillId="0" borderId="1" xfId="0" applyFont="1" applyBorder="1"/>
    <xf numFmtId="174" fontId="24" fillId="0" borderId="1" xfId="0" applyNumberFormat="1" applyFont="1" applyBorder="1"/>
    <xf numFmtId="166" fontId="0" fillId="0" borderId="0" xfId="0" applyNumberFormat="1"/>
    <xf numFmtId="174" fontId="0" fillId="0" borderId="0" xfId="0" applyNumberFormat="1"/>
    <xf numFmtId="10" fontId="14" fillId="0" borderId="0" xfId="1" applyNumberFormat="1" applyFont="1"/>
    <xf numFmtId="175" fontId="24" fillId="0" borderId="0" xfId="0" applyNumberFormat="1" applyFont="1"/>
    <xf numFmtId="0" fontId="0" fillId="0" borderId="4" xfId="0" applyBorder="1"/>
    <xf numFmtId="166" fontId="0" fillId="0" borderId="4" xfId="0" applyNumberFormat="1" applyBorder="1"/>
    <xf numFmtId="0" fontId="25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180" fontId="0" fillId="0" borderId="0" xfId="0" applyNumberFormat="1"/>
  </cellXfs>
  <cellStyles count="4">
    <cellStyle name="Comma" xfId="2" builtinId="3"/>
    <cellStyle name="Comma 2" xfId="3" xr:uid="{70F69F30-AC2E-4C24-80E0-B6F57F4CEB67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'BDA PILOT DECEMBER 2022 Q21'!$K$64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'BDA PILOT DECEMBER 2022 Q21'!$L$62:$O$62</c:f>
              <c:numCache>
                <c:formatCode>0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Q21'!$L$64:$O$64</c:f>
              <c:numCache>
                <c:formatCode>_(* #,##0_);_(* \(#,##0\);_(* "-"??_);_(@_)</c:formatCode>
                <c:ptCount val="4"/>
                <c:pt idx="0">
                  <c:v>1300</c:v>
                </c:pt>
                <c:pt idx="1">
                  <c:v>1230</c:v>
                </c:pt>
                <c:pt idx="2">
                  <c:v>1153.8000000000002</c:v>
                </c:pt>
                <c:pt idx="3">
                  <c:v>1071.0360000000005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BB-41DB-B277-EC705EB9B836}"/>
            </c:ext>
          </c:extLst>
        </c:ser>
        <c:ser>
          <c:idx val="3"/>
          <c:order val="2"/>
          <c:tx>
            <c:strRef>
              <c:f>'BDA PILOT DECEMBER 2022 Q21'!$K$65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'BDA PILOT DECEMBER 2022 Q21'!$L$62:$O$62</c:f>
              <c:numCache>
                <c:formatCode>0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Q21'!$L$65:$O$65</c:f>
              <c:numCache>
                <c:formatCode>_(* #,##0_);_(* \(#,##0\);_(* "-"??_);_(@_)</c:formatCode>
                <c:ptCount val="4"/>
                <c:pt idx="0">
                  <c:v>1315</c:v>
                </c:pt>
                <c:pt idx="1">
                  <c:v>1245.3</c:v>
                </c:pt>
                <c:pt idx="2">
                  <c:v>1169.4060000000002</c:v>
                </c:pt>
                <c:pt idx="3">
                  <c:v>1086.9541200000006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BB-41DB-B277-EC705EB9B836}"/>
            </c:ext>
          </c:extLst>
        </c:ser>
        <c:ser>
          <c:idx val="4"/>
          <c:order val="3"/>
          <c:tx>
            <c:strRef>
              <c:f>'BDA PILOT DECEMBER 2022 Q21'!$K$66</c:f>
              <c:strCache>
                <c:ptCount val="1"/>
                <c:pt idx="0">
                  <c:v>EBITDA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'BDA PILOT DECEMBER 2022 Q21'!$L$62:$O$62</c:f>
              <c:numCache>
                <c:formatCode>0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Q21'!$L$66:$O$66</c:f>
              <c:numCache>
                <c:formatCode>_(* #,##0_);_(* \(#,##0\);_(* "-"??_);_(@_)</c:formatCode>
                <c:ptCount val="4"/>
                <c:pt idx="0">
                  <c:v>895</c:v>
                </c:pt>
                <c:pt idx="1">
                  <c:v>810.59999999999991</c:v>
                </c:pt>
                <c:pt idx="2">
                  <c:v>719.39700000000016</c:v>
                </c:pt>
                <c:pt idx="3">
                  <c:v>620.99919000000045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DBB-41DB-B277-EC705EB9B836}"/>
            </c:ext>
          </c:extLst>
        </c:ser>
        <c:ser>
          <c:idx val="5"/>
          <c:order val="4"/>
          <c:tx>
            <c:strRef>
              <c:f>'BDA PILOT DECEMBER 2022 Q21'!$K$67</c:f>
              <c:strCache>
                <c:ptCount val="1"/>
                <c:pt idx="0">
                  <c:v>EBIT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'BDA PILOT DECEMBER 2022 Q21'!$L$62:$O$62</c:f>
              <c:numCache>
                <c:formatCode>0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Q21'!$L$67:$O$67</c:f>
              <c:numCache>
                <c:formatCode>_(* #,##0_);_(* \(#,##0\);_(* "-"??_);_(@_)</c:formatCode>
                <c:ptCount val="4"/>
                <c:pt idx="0">
                  <c:v>745</c:v>
                </c:pt>
                <c:pt idx="1">
                  <c:v>653.09999999999991</c:v>
                </c:pt>
                <c:pt idx="2">
                  <c:v>554.02200000000016</c:v>
                </c:pt>
                <c:pt idx="3">
                  <c:v>447.35544000000044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BB-41DB-B277-EC705EB9B836}"/>
            </c:ext>
          </c:extLst>
        </c:ser>
        <c:ser>
          <c:idx val="6"/>
          <c:order val="5"/>
          <c:tx>
            <c:strRef>
              <c:f>'BDA PILOT DECEMBER 2022 Q21'!$K$68</c:f>
              <c:strCache>
                <c:ptCount val="1"/>
                <c:pt idx="0">
                  <c:v>EBT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'BDA PILOT DECEMBER 2022 Q21'!$L$62:$O$62</c:f>
              <c:numCache>
                <c:formatCode>0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Q21'!$L$68:$O$68</c:f>
              <c:numCache>
                <c:formatCode>_(* #,##0_);_(* \(#,##0\);_(* "-"??_);_(@_)</c:formatCode>
                <c:ptCount val="4"/>
                <c:pt idx="0">
                  <c:v>625</c:v>
                </c:pt>
                <c:pt idx="1">
                  <c:v>521.09999999999991</c:v>
                </c:pt>
                <c:pt idx="2">
                  <c:v>408.82200000000012</c:v>
                </c:pt>
                <c:pt idx="3">
                  <c:v>287.63544000000041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DBB-41DB-B277-EC705EB9B836}"/>
            </c:ext>
          </c:extLst>
        </c:ser>
        <c:ser>
          <c:idx val="7"/>
          <c:order val="6"/>
          <c:tx>
            <c:strRef>
              <c:f>'BDA PILOT DECEMBER 2022 Q21'!$K$69</c:f>
              <c:strCache>
                <c:ptCount val="1"/>
                <c:pt idx="0">
                  <c:v>EAT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'BDA PILOT DECEMBER 2022 Q21'!$L$62:$O$62</c:f>
              <c:numCache>
                <c:formatCode>0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Q21'!$L$69:$O$69</c:f>
              <c:numCache>
                <c:formatCode>_(* #,##0_);_(* \(#,##0\);_(* "-"??_);_(@_)</c:formatCode>
                <c:ptCount val="4"/>
                <c:pt idx="0">
                  <c:v>465</c:v>
                </c:pt>
                <c:pt idx="1">
                  <c:v>364.77</c:v>
                </c:pt>
                <c:pt idx="2">
                  <c:v>286.17540000000008</c:v>
                </c:pt>
                <c:pt idx="3">
                  <c:v>201.34480800000028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DBB-41DB-B277-EC705EB9B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18641071"/>
        <c:axId val="718638991"/>
      </c:barChart>
      <c:lineChart>
        <c:grouping val="standard"/>
        <c:varyColors val="0"/>
        <c:ser>
          <c:idx val="1"/>
          <c:order val="0"/>
          <c:tx>
            <c:strRef>
              <c:f>'BDA PILOT DECEMBER 2022 Q21'!$K$63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Q21'!$L$62:$O$62</c:f>
              <c:numCache>
                <c:formatCode>0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Q21'!$L$63:$O$63</c:f>
              <c:numCache>
                <c:formatCode>_(* #,##0_);_(* \(#,##0\);_(* "-"??_);_(@_)</c:formatCode>
                <c:ptCount val="4"/>
                <c:pt idx="0">
                  <c:v>4500</c:v>
                </c:pt>
                <c:pt idx="1">
                  <c:v>4590</c:v>
                </c:pt>
                <c:pt idx="2">
                  <c:v>4681.8</c:v>
                </c:pt>
                <c:pt idx="3">
                  <c:v>4775.4360000000006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B-41DB-B277-EC705EB9B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106543"/>
        <c:axId val="848106127"/>
      </c:lineChart>
      <c:catAx>
        <c:axId val="71864107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638991"/>
        <c:crosses val="autoZero"/>
        <c:auto val="1"/>
        <c:lblAlgn val="ctr"/>
        <c:lblOffset val="100"/>
        <c:noMultiLvlLbl val="0"/>
      </c:catAx>
      <c:valAx>
        <c:axId val="718638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641071"/>
        <c:crosses val="autoZero"/>
        <c:crossBetween val="between"/>
      </c:valAx>
      <c:valAx>
        <c:axId val="848106127"/>
        <c:scaling>
          <c:orientation val="minMax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8106543"/>
        <c:crosses val="max"/>
        <c:crossBetween val="between"/>
      </c:valAx>
      <c:catAx>
        <c:axId val="848106543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8481061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  <a:r>
              <a:rPr lang="en-US" baseline="0"/>
              <a:t> line graph showing revenues and net profit under base scenario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'BDA PILOT DECEMBER 2022 Q21'!$B$144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Q21'!$C$143:$F$143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Q21'!$C$144:$F$144</c:f>
              <c:numCache>
                <c:formatCode>General</c:formatCode>
                <c:ptCount val="4"/>
                <c:pt idx="0">
                  <c:v>4500</c:v>
                </c:pt>
                <c:pt idx="1">
                  <c:v>4725</c:v>
                </c:pt>
                <c:pt idx="2">
                  <c:v>4961.25</c:v>
                </c:pt>
                <c:pt idx="3">
                  <c:v>5209.3125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6-4F19-89EF-1280F31329B0}"/>
            </c:ext>
          </c:extLst>
        </c:ser>
        <c:ser>
          <c:idx val="2"/>
          <c:order val="1"/>
          <c:tx>
            <c:strRef>
              <c:f>'BDA PILOT DECEMBER 2022 Q21'!$B$145</c:f>
              <c:strCache>
                <c:ptCount val="1"/>
                <c:pt idx="0">
                  <c:v>Gross Profit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Q21'!$C$143:$F$143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Q21'!$C$145:$F$145</c:f>
              <c:numCache>
                <c:formatCode>General</c:formatCode>
                <c:ptCount val="4"/>
                <c:pt idx="0">
                  <c:v>1300</c:v>
                </c:pt>
                <c:pt idx="1">
                  <c:v>1365</c:v>
                </c:pt>
                <c:pt idx="2">
                  <c:v>1433.25</c:v>
                </c:pt>
                <c:pt idx="3">
                  <c:v>1504.9124999999999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6-4F19-89EF-1280F31329B0}"/>
            </c:ext>
          </c:extLst>
        </c:ser>
        <c:ser>
          <c:idx val="3"/>
          <c:order val="2"/>
          <c:tx>
            <c:strRef>
              <c:f>'BDA PILOT DECEMBER 2022 Q21'!$B$146</c:f>
              <c:strCache>
                <c:ptCount val="1"/>
                <c:pt idx="0">
                  <c:v>Total Income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Q21'!$C$143:$F$143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Q21'!$C$146:$F$146</c:f>
              <c:numCache>
                <c:formatCode>General</c:formatCode>
                <c:ptCount val="4"/>
                <c:pt idx="0">
                  <c:v>1315</c:v>
                </c:pt>
                <c:pt idx="1">
                  <c:v>1380.45</c:v>
                </c:pt>
                <c:pt idx="2">
                  <c:v>1449.1635000000001</c:v>
                </c:pt>
                <c:pt idx="3">
                  <c:v>1521.3034049999999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56-4F19-89EF-1280F31329B0}"/>
            </c:ext>
          </c:extLst>
        </c:ser>
        <c:ser>
          <c:idx val="4"/>
          <c:order val="3"/>
          <c:tx>
            <c:strRef>
              <c:f>'BDA PILOT DECEMBER 2022 Q21'!$B$147</c:f>
              <c:strCache>
                <c:ptCount val="1"/>
                <c:pt idx="0">
                  <c:v>EBITDA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Q21'!$C$143:$F$143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Q21'!$C$147:$F$147</c:f>
              <c:numCache>
                <c:formatCode>General</c:formatCode>
                <c:ptCount val="4"/>
                <c:pt idx="0">
                  <c:v>895</c:v>
                </c:pt>
                <c:pt idx="1">
                  <c:v>939.45</c:v>
                </c:pt>
                <c:pt idx="2">
                  <c:v>986.11350000000004</c:v>
                </c:pt>
                <c:pt idx="3">
                  <c:v>1035.100905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56-4F19-89EF-1280F31329B0}"/>
            </c:ext>
          </c:extLst>
        </c:ser>
        <c:ser>
          <c:idx val="5"/>
          <c:order val="4"/>
          <c:tx>
            <c:strRef>
              <c:f>'BDA PILOT DECEMBER 2022 Q21'!$B$148</c:f>
              <c:strCache>
                <c:ptCount val="1"/>
                <c:pt idx="0">
                  <c:v>EBIT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Q21'!$C$143:$F$143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Q21'!$C$148:$F$148</c:f>
              <c:numCache>
                <c:formatCode>General</c:formatCode>
                <c:ptCount val="4"/>
                <c:pt idx="0">
                  <c:v>745</c:v>
                </c:pt>
                <c:pt idx="1">
                  <c:v>774.45</c:v>
                </c:pt>
                <c:pt idx="2">
                  <c:v>804.61350000000004</c:v>
                </c:pt>
                <c:pt idx="3">
                  <c:v>835.45090499999992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56-4F19-89EF-1280F31329B0}"/>
            </c:ext>
          </c:extLst>
        </c:ser>
        <c:ser>
          <c:idx val="6"/>
          <c:order val="5"/>
          <c:tx>
            <c:strRef>
              <c:f>'BDA PILOT DECEMBER 2022 Q21'!$B$149</c:f>
              <c:strCache>
                <c:ptCount val="1"/>
                <c:pt idx="0">
                  <c:v>EBT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Q21'!$C$143:$F$143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Q21'!$C$149:$F$149</c:f>
              <c:numCache>
                <c:formatCode>General</c:formatCode>
                <c:ptCount val="4"/>
                <c:pt idx="0">
                  <c:v>625</c:v>
                </c:pt>
                <c:pt idx="1">
                  <c:v>642.45000000000005</c:v>
                </c:pt>
                <c:pt idx="2">
                  <c:v>659.4135</c:v>
                </c:pt>
                <c:pt idx="3">
                  <c:v>675.73090499999989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56-4F19-89EF-1280F31329B0}"/>
            </c:ext>
          </c:extLst>
        </c:ser>
        <c:ser>
          <c:idx val="7"/>
          <c:order val="6"/>
          <c:tx>
            <c:strRef>
              <c:f>'BDA PILOT DECEMBER 2022 Q21'!$B$150</c:f>
              <c:strCache>
                <c:ptCount val="1"/>
                <c:pt idx="0">
                  <c:v>PAT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Q21'!$C$143:$F$143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Q21'!$C$150:$F$150</c:f>
              <c:numCache>
                <c:formatCode>General</c:formatCode>
                <c:ptCount val="4"/>
                <c:pt idx="0">
                  <c:v>465</c:v>
                </c:pt>
                <c:pt idx="1">
                  <c:v>449.71500000000003</c:v>
                </c:pt>
                <c:pt idx="2">
                  <c:v>461.58945</c:v>
                </c:pt>
                <c:pt idx="3">
                  <c:v>473.0116334999999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56-4F19-89EF-1280F31329B0}"/>
            </c:ext>
          </c:extLst>
        </c:ser>
        <c:ser>
          <c:idx val="8"/>
          <c:order val="7"/>
          <c:tx>
            <c:strRef>
              <c:f>'BDA PILOT DECEMBER 2022 Q21'!$B$151</c:f>
              <c:strCache>
                <c:ptCount val="1"/>
                <c:pt idx="0">
                  <c:v>Retained Profit for the year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'BDA PILOT DECEMBER 2022 Q21'!$C$143:$F$143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'BDA PILOT DECEMBER 2022 Q21'!$C$151:$F$151</c:f>
              <c:numCache>
                <c:formatCode>General</c:formatCode>
                <c:ptCount val="4"/>
                <c:pt idx="0">
                  <c:v>185</c:v>
                </c:pt>
                <c:pt idx="1">
                  <c:v>141.71500000000003</c:v>
                </c:pt>
                <c:pt idx="2">
                  <c:v>122.78944999999999</c:v>
                </c:pt>
                <c:pt idx="3">
                  <c:v>100.33163349999984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56-4F19-89EF-1280F3132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0539135"/>
        <c:axId val="1310537887"/>
      </c:lineChart>
      <c:catAx>
        <c:axId val="131053913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0537887"/>
        <c:crosses val="autoZero"/>
        <c:auto val="1"/>
        <c:lblAlgn val="ctr"/>
        <c:lblOffset val="100"/>
        <c:noMultiLvlLbl val="0"/>
      </c:catAx>
      <c:valAx>
        <c:axId val="1310537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KSHS</a:t>
                </a:r>
                <a:r>
                  <a:rPr lang="en-US" baseline="0"/>
                  <a:t> '000"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0539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clustered column chart showing revenue over the forecast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'BDA AUGUST 2023 Q21'!$A$86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'BDA AUGUST 2023 Q21'!$B$85:$I$85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Q21'!$B$86:$G$86</c:f>
              <c:numCache>
                <c:formatCode>_(* #,##0_);_(* \(#,##0\);_(* "-"??_);_(@_)</c:formatCode>
                <c:ptCount val="6"/>
                <c:pt idx="0">
                  <c:v>3000</c:v>
                </c:pt>
                <c:pt idx="1">
                  <c:v>3300.0000000000005</c:v>
                </c:pt>
                <c:pt idx="2">
                  <c:v>3630.0000000000009</c:v>
                </c:pt>
                <c:pt idx="3">
                  <c:v>3993.0000000000014</c:v>
                </c:pt>
                <c:pt idx="4">
                  <c:v>4392.300000000002</c:v>
                </c:pt>
                <c:pt idx="5">
                  <c:v>4831.5300000000025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0-4EEF-91F5-6F722361C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6637680"/>
        <c:axId val="896638096"/>
      </c:barChart>
      <c:catAx>
        <c:axId val="896637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638096"/>
        <c:crosses val="autoZero"/>
        <c:auto val="1"/>
        <c:lblAlgn val="ctr"/>
        <c:lblOffset val="100"/>
        <c:noMultiLvlLbl val="0"/>
      </c:catAx>
      <c:valAx>
        <c:axId val="89663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shs "ooo"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63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  <a:r>
              <a:rPr lang="en-US" baseline="0"/>
              <a:t> line graph showing profit for the year</a:t>
            </a:r>
            <a:endParaRPr lang="en-US"/>
          </a:p>
        </c:rich>
      </c:tx>
      <c:layout>
        <c:manualLayout>
          <c:xMode val="edge"/>
          <c:yMode val="edge"/>
          <c:x val="0.39040966754155731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'BDA AUGUST 2023 Q21'!$A$108</c:f>
              <c:strCache>
                <c:ptCount val="1"/>
                <c:pt idx="0">
                  <c:v>Profit for the year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'BDA AUGUST 2023 Q21'!$B$107:$G$107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Q21'!$B$108:$G$108</c:f>
              <c:numCache>
                <c:formatCode>General</c:formatCode>
                <c:ptCount val="6"/>
                <c:pt idx="0">
                  <c:v>380</c:v>
                </c:pt>
                <c:pt idx="1">
                  <c:v>388.12500000000034</c:v>
                </c:pt>
                <c:pt idx="2">
                  <c:v>446.6057565789481</c:v>
                </c:pt>
                <c:pt idx="3">
                  <c:v>512.35649130020875</c:v>
                </c:pt>
                <c:pt idx="4">
                  <c:v>608.68741326376721</c:v>
                </c:pt>
                <c:pt idx="5">
                  <c:v>692.11595835888477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36-4E1E-B39F-5F8C5D344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3877087"/>
        <c:axId val="1983878335"/>
      </c:lineChart>
      <c:catAx>
        <c:axId val="19838770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878335"/>
        <c:crosses val="autoZero"/>
        <c:auto val="1"/>
        <c:lblAlgn val="ctr"/>
        <c:lblOffset val="100"/>
        <c:noMultiLvlLbl val="0"/>
      </c:catAx>
      <c:valAx>
        <c:axId val="198387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shs "000"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877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stacked area showing total assets</a:t>
            </a:r>
            <a:r>
              <a:rPr lang="en-US" baseline="0"/>
              <a:t> over the forecast period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'BDA AUGUST 2023 Q21'!$A$132</c:f>
              <c:strCache>
                <c:ptCount val="1"/>
                <c:pt idx="0">
                  <c:v>Total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'BDA AUGUST 2023 Q21'!$B$131:$G$131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Q21'!$B$132:$G$132</c:f>
              <c:numCache>
                <c:formatCode>General</c:formatCode>
                <c:ptCount val="6"/>
                <c:pt idx="0">
                  <c:v>4880</c:v>
                </c:pt>
                <c:pt idx="1">
                  <c:v>5162</c:v>
                </c:pt>
                <c:pt idx="2">
                  <c:v>5461.9</c:v>
                </c:pt>
                <c:pt idx="3">
                  <c:v>5780.9750000000004</c:v>
                </c:pt>
                <c:pt idx="4">
                  <c:v>6120.6017500000007</c:v>
                </c:pt>
                <c:pt idx="5">
                  <c:v>6482.267637500001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41-4054-8DC9-306003A2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9803583"/>
        <c:axId val="1979801503"/>
      </c:areaChart>
      <c:catAx>
        <c:axId val="19798035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801503"/>
        <c:crosses val="autoZero"/>
        <c:auto val="1"/>
        <c:lblAlgn val="ctr"/>
        <c:lblOffset val="100"/>
        <c:noMultiLvlLbl val="0"/>
      </c:catAx>
      <c:valAx>
        <c:axId val="1979801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shs"000"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8035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line graph showing Equity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'BDA AUGUST 2023 Q21'!$A$156</c:f>
              <c:strCache>
                <c:ptCount val="1"/>
                <c:pt idx="0">
                  <c:v>Total equity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'BDA AUGUST 2023 Q21'!$B$155:$G$155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Q21'!$B$156:$G$156</c:f>
              <c:numCache>
                <c:formatCode>General</c:formatCode>
                <c:ptCount val="6"/>
                <c:pt idx="0">
                  <c:v>2300</c:v>
                </c:pt>
                <c:pt idx="1">
                  <c:v>2585.9868421052633</c:v>
                </c:pt>
                <c:pt idx="2">
                  <c:v>2915.0647680055408</c:v>
                </c:pt>
                <c:pt idx="3">
                  <c:v>3892.5906037004315</c:v>
                </c:pt>
                <c:pt idx="4">
                  <c:v>4341.0971187368914</c:v>
                </c:pt>
                <c:pt idx="5">
                  <c:v>4851.0772985802796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2B-43B2-AC23-8BB3229D6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7149055"/>
        <c:axId val="1987147391"/>
      </c:lineChart>
      <c:catAx>
        <c:axId val="19871490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7147391"/>
        <c:crosses val="autoZero"/>
        <c:auto val="1"/>
        <c:lblAlgn val="ctr"/>
        <c:lblOffset val="100"/>
        <c:noMultiLvlLbl val="0"/>
      </c:catAx>
      <c:valAx>
        <c:axId val="1987147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shs "000"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7149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line chart showing Net profit margin.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'BDA AUGUST 2023 Q21'!$A$177</c:f>
              <c:strCache>
                <c:ptCount val="1"/>
                <c:pt idx="0">
                  <c:v>Net profit margin.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'BDA AUGUST 2023 Q21'!$B$176:$G$176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Q21'!$B$177:$G$177</c:f>
              <c:numCache>
                <c:formatCode>0.0000</c:formatCode>
                <c:ptCount val="6"/>
                <c:pt idx="0">
                  <c:v>0.12666666666666668</c:v>
                </c:pt>
                <c:pt idx="1">
                  <c:v>0.11761363636363645</c:v>
                </c:pt>
                <c:pt idx="2">
                  <c:v>0.12303188886472397</c:v>
                </c:pt>
                <c:pt idx="3">
                  <c:v>0.12831367175061573</c:v>
                </c:pt>
                <c:pt idx="4">
                  <c:v>0.13858056445683742</c:v>
                </c:pt>
                <c:pt idx="5">
                  <c:v>0.1432498521915179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ED-4497-B933-2814D632E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9803999"/>
        <c:axId val="1979804415"/>
      </c:lineChart>
      <c:catAx>
        <c:axId val="19798039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804415"/>
        <c:crosses val="autoZero"/>
        <c:auto val="1"/>
        <c:lblAlgn val="ctr"/>
        <c:lblOffset val="100"/>
        <c:noMultiLvlLbl val="0"/>
      </c:catAx>
      <c:valAx>
        <c:axId val="1979804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803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A line chart showing debt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'BDA AUGUST 2023 Q21'!$A$200</c:f>
              <c:strCache>
                <c:ptCount val="1"/>
                <c:pt idx="0">
                  <c:v>Debt ratio.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'BDA AUGUST 2023 Q21'!$B$199:$G$199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Q21'!$B$200:$G$200</c:f>
              <c:numCache>
                <c:formatCode>General</c:formatCode>
                <c:ptCount val="6"/>
                <c:pt idx="0">
                  <c:v>0.52868852459016391</c:v>
                </c:pt>
                <c:pt idx="1">
                  <c:v>0.49903393217643099</c:v>
                </c:pt>
                <c:pt idx="2">
                  <c:v>0.46629107673052583</c:v>
                </c:pt>
                <c:pt idx="3">
                  <c:v>0.32665500132755609</c:v>
                </c:pt>
                <c:pt idx="4">
                  <c:v>0.29074014352642846</c:v>
                </c:pt>
                <c:pt idx="5">
                  <c:v>0.25163884463567415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92-47BC-AB3D-F61B7AF64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3791791"/>
        <c:axId val="1983794287"/>
      </c:lineChart>
      <c:catAx>
        <c:axId val="1983791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794287"/>
        <c:crosses val="autoZero"/>
        <c:auto val="1"/>
        <c:lblAlgn val="ctr"/>
        <c:lblOffset val="100"/>
        <c:noMultiLvlLbl val="0"/>
      </c:catAx>
      <c:valAx>
        <c:axId val="1983794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791791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</a:t>
            </a:r>
            <a:r>
              <a:rPr lang="en-US" baseline="0"/>
              <a:t> combo graph showing summary of IS and sofp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'BDA AUGUST 2023 Q21'!$K$86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'BDA AUGUST 2023 Q21'!$L$85:$Q$85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Q21'!$L$86:$Q$86</c:f>
              <c:numCache>
                <c:formatCode>General</c:formatCode>
                <c:ptCount val="6"/>
                <c:pt idx="0">
                  <c:v>3000</c:v>
                </c:pt>
                <c:pt idx="1">
                  <c:v>3300.0000000000005</c:v>
                </c:pt>
                <c:pt idx="2">
                  <c:v>3630.0000000000009</c:v>
                </c:pt>
                <c:pt idx="3">
                  <c:v>3993.0000000000014</c:v>
                </c:pt>
                <c:pt idx="4">
                  <c:v>4392.300000000002</c:v>
                </c:pt>
                <c:pt idx="5">
                  <c:v>4831.5300000000025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F-469E-9DE9-22BBDD2CABE6}"/>
            </c:ext>
          </c:extLst>
        </c:ser>
        <c:ser>
          <c:idx val="2"/>
          <c:order val="1"/>
          <c:tx>
            <c:strRef>
              <c:f>'BDA AUGUST 2023 Q21'!$K$87</c:f>
              <c:strCache>
                <c:ptCount val="1"/>
                <c:pt idx="0">
                  <c:v>Profit for the year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'BDA AUGUST 2023 Q21'!$L$85:$Q$85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Q21'!$L$87:$Q$87</c:f>
              <c:numCache>
                <c:formatCode>General</c:formatCode>
                <c:ptCount val="6"/>
                <c:pt idx="0">
                  <c:v>380</c:v>
                </c:pt>
                <c:pt idx="1">
                  <c:v>388.12500000000034</c:v>
                </c:pt>
                <c:pt idx="2">
                  <c:v>446.6057565789481</c:v>
                </c:pt>
                <c:pt idx="3">
                  <c:v>512.35649130020875</c:v>
                </c:pt>
                <c:pt idx="4">
                  <c:v>608.68741326376721</c:v>
                </c:pt>
                <c:pt idx="5">
                  <c:v>692.11595835888477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BF-469E-9DE9-22BBDD2CABE6}"/>
            </c:ext>
          </c:extLst>
        </c:ser>
        <c:ser>
          <c:idx val="3"/>
          <c:order val="2"/>
          <c:tx>
            <c:strRef>
              <c:f>'BDA AUGUST 2023 Q21'!$K$88</c:f>
              <c:strCache>
                <c:ptCount val="1"/>
                <c:pt idx="0">
                  <c:v>Total assets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'BDA AUGUST 2023 Q21'!$L$85:$Q$85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Q21'!$L$88:$Q$88</c:f>
              <c:numCache>
                <c:formatCode>General</c:formatCode>
                <c:ptCount val="6"/>
                <c:pt idx="0">
                  <c:v>4880</c:v>
                </c:pt>
                <c:pt idx="1">
                  <c:v>5162</c:v>
                </c:pt>
                <c:pt idx="2">
                  <c:v>5461.9</c:v>
                </c:pt>
                <c:pt idx="3">
                  <c:v>5780.9750000000004</c:v>
                </c:pt>
                <c:pt idx="4">
                  <c:v>6120.6017500000007</c:v>
                </c:pt>
                <c:pt idx="5">
                  <c:v>6482.267637500001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BF-469E-9DE9-22BBDD2CABE6}"/>
            </c:ext>
          </c:extLst>
        </c:ser>
        <c:ser>
          <c:idx val="4"/>
          <c:order val="3"/>
          <c:tx>
            <c:strRef>
              <c:f>'BDA AUGUST 2023 Q21'!$K$89</c:f>
              <c:strCache>
                <c:ptCount val="1"/>
                <c:pt idx="0">
                  <c:v>Total equity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'BDA AUGUST 2023 Q21'!$L$85:$Q$85</c:f>
              <c:numCache>
                <c:formatCode>General</c:formatCode>
                <c:ptCount val="6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</c:numCache>
            </c:numRef>
          </c:cat>
          <c:val>
            <c:numRef>
              <c:f>'BDA AUGUST 2023 Q21'!$L$89:$Q$89</c:f>
              <c:numCache>
                <c:formatCode>General</c:formatCode>
                <c:ptCount val="6"/>
                <c:pt idx="0">
                  <c:v>2300</c:v>
                </c:pt>
                <c:pt idx="1">
                  <c:v>2585.9868421052633</c:v>
                </c:pt>
                <c:pt idx="2">
                  <c:v>2915.0647680055408</c:v>
                </c:pt>
                <c:pt idx="3">
                  <c:v>3892.5906037004315</c:v>
                </c:pt>
                <c:pt idx="4">
                  <c:v>4341.0971187368914</c:v>
                </c:pt>
                <c:pt idx="5">
                  <c:v>4851.0772985802796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BF-469E-9DE9-22BBDD2CA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790959"/>
        <c:axId val="1983792207"/>
      </c:barChart>
      <c:lineChart>
        <c:grouping val="standard"/>
        <c:varyColors val="0"/>
        <c:ser>
          <c:idx val="5"/>
          <c:order val="4"/>
          <c:tx>
            <c:strRef>
              <c:f>'BDA AUGUST 2023 Q21'!$K$90</c:f>
              <c:strCache>
                <c:ptCount val="1"/>
                <c:pt idx="0">
                  <c:v>Net profit margin.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'BDA AUGUST 2023 Q21'!$L$90:$Q$90</c:f>
              <c:numCache>
                <c:formatCode>General</c:formatCode>
                <c:ptCount val="6"/>
                <c:pt idx="0">
                  <c:v>0.12666666666666668</c:v>
                </c:pt>
                <c:pt idx="1">
                  <c:v>0.11761363636363645</c:v>
                </c:pt>
                <c:pt idx="2">
                  <c:v>0.12303188886472397</c:v>
                </c:pt>
                <c:pt idx="3">
                  <c:v>0.12831367175061573</c:v>
                </c:pt>
                <c:pt idx="4">
                  <c:v>0.13858056445683742</c:v>
                </c:pt>
                <c:pt idx="5">
                  <c:v>0.1432498521915179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BF-469E-9DE9-22BBDD2CABE6}"/>
            </c:ext>
          </c:extLst>
        </c:ser>
        <c:ser>
          <c:idx val="6"/>
          <c:order val="5"/>
          <c:tx>
            <c:strRef>
              <c:f>'BDA AUGUST 2023 Q21'!$K$91</c:f>
              <c:strCache>
                <c:ptCount val="1"/>
                <c:pt idx="0">
                  <c:v>Debt ratio.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'BDA AUGUST 2023 Q21'!$L$91:$Q$91</c:f>
              <c:numCache>
                <c:formatCode>General</c:formatCode>
                <c:ptCount val="6"/>
                <c:pt idx="0">
                  <c:v>0.52868852459016391</c:v>
                </c:pt>
                <c:pt idx="1">
                  <c:v>0.49903393217643099</c:v>
                </c:pt>
                <c:pt idx="2">
                  <c:v>0.46629107673052583</c:v>
                </c:pt>
                <c:pt idx="3">
                  <c:v>0.32665500132755609</c:v>
                </c:pt>
                <c:pt idx="4">
                  <c:v>0.29074014352642846</c:v>
                </c:pt>
                <c:pt idx="5">
                  <c:v>0.25163884463567415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BF-469E-9DE9-22BBDD2CA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3793455"/>
        <c:axId val="1983793039"/>
      </c:lineChart>
      <c:catAx>
        <c:axId val="19837909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792207"/>
        <c:crosses val="autoZero"/>
        <c:auto val="1"/>
        <c:lblAlgn val="ctr"/>
        <c:lblOffset val="100"/>
        <c:noMultiLvlLbl val="0"/>
      </c:catAx>
      <c:valAx>
        <c:axId val="1983792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shs "000"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790959"/>
        <c:crosses val="autoZero"/>
        <c:crossBetween val="between"/>
      </c:valAx>
      <c:valAx>
        <c:axId val="198379303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793455"/>
        <c:crosses val="max"/>
        <c:crossBetween val="between"/>
      </c:valAx>
      <c:catAx>
        <c:axId val="1983793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379303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97791</xdr:rowOff>
    </xdr:from>
    <xdr:to>
      <xdr:col>5</xdr:col>
      <xdr:colOff>180975</xdr:colOff>
      <xdr:row>44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4C5046-62DB-34FC-800F-7C7DE9D93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754" t="24892" r="23678" b="33214"/>
        <a:stretch/>
      </xdr:blipFill>
      <xdr:spPr>
        <a:xfrm>
          <a:off x="0" y="4669791"/>
          <a:ext cx="6457950" cy="3731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235443</xdr:colOff>
      <xdr:row>23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5140EC-9A15-296E-F317-D75CFB54C3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7005" t="19558" r="19052" b="26657"/>
        <a:stretch/>
      </xdr:blipFill>
      <xdr:spPr>
        <a:xfrm>
          <a:off x="0" y="0"/>
          <a:ext cx="6566887" cy="4524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76200</xdr:rowOff>
    </xdr:from>
    <xdr:to>
      <xdr:col>5</xdr:col>
      <xdr:colOff>0</xdr:colOff>
      <xdr:row>62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BDE873-7AEA-7F2B-A664-CDE63C0F9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7130" t="20224" r="18739" b="37660"/>
        <a:stretch/>
      </xdr:blipFill>
      <xdr:spPr>
        <a:xfrm>
          <a:off x="0" y="8267700"/>
          <a:ext cx="6096000" cy="3609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28</xdr:row>
      <xdr:rowOff>0</xdr:rowOff>
    </xdr:from>
    <xdr:to>
      <xdr:col>3</xdr:col>
      <xdr:colOff>9525</xdr:colOff>
      <xdr:row>28</xdr:row>
      <xdr:rowOff>9525</xdr:rowOff>
    </xdr:to>
    <xdr:pic>
      <xdr:nvPicPr>
        <xdr:cNvPr id="14" name="Picture 4302">
          <a:extLst>
            <a:ext uri="{FF2B5EF4-FFF2-40B4-BE49-F238E27FC236}">
              <a16:creationId xmlns:a16="http://schemas.microsoft.com/office/drawing/2014/main" id="{79A652D5-1B16-4B9B-9F62-929EB7BF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28575</xdr:colOff>
      <xdr:row>35</xdr:row>
      <xdr:rowOff>38100</xdr:rowOff>
    </xdr:to>
    <xdr:pic>
      <xdr:nvPicPr>
        <xdr:cNvPr id="15" name="Picture 6797">
          <a:extLst>
            <a:ext uri="{FF2B5EF4-FFF2-40B4-BE49-F238E27FC236}">
              <a16:creationId xmlns:a16="http://schemas.microsoft.com/office/drawing/2014/main" id="{A221DA3B-170B-4121-B8DC-203EAE45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28575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1</xdr:col>
      <xdr:colOff>28575</xdr:colOff>
      <xdr:row>35</xdr:row>
      <xdr:rowOff>38100</xdr:rowOff>
    </xdr:to>
    <xdr:pic>
      <xdr:nvPicPr>
        <xdr:cNvPr id="16" name="Picture 6798">
          <a:extLst>
            <a:ext uri="{FF2B5EF4-FFF2-40B4-BE49-F238E27FC236}">
              <a16:creationId xmlns:a16="http://schemas.microsoft.com/office/drawing/2014/main" id="{C6B95672-590D-4408-AE3A-BBEACCB04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28575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19050</xdr:colOff>
      <xdr:row>35</xdr:row>
      <xdr:rowOff>38100</xdr:rowOff>
    </xdr:to>
    <xdr:pic>
      <xdr:nvPicPr>
        <xdr:cNvPr id="17" name="Picture 6800">
          <a:extLst>
            <a:ext uri="{FF2B5EF4-FFF2-40B4-BE49-F238E27FC236}">
              <a16:creationId xmlns:a16="http://schemas.microsoft.com/office/drawing/2014/main" id="{088C4E87-2CED-4CFC-B362-D219E3E8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858000"/>
          <a:ext cx="1905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35</xdr:row>
      <xdr:rowOff>0</xdr:rowOff>
    </xdr:from>
    <xdr:to>
      <xdr:col>2</xdr:col>
      <xdr:colOff>28575</xdr:colOff>
      <xdr:row>35</xdr:row>
      <xdr:rowOff>38100</xdr:rowOff>
    </xdr:to>
    <xdr:pic>
      <xdr:nvPicPr>
        <xdr:cNvPr id="18" name="Picture 6799">
          <a:extLst>
            <a:ext uri="{FF2B5EF4-FFF2-40B4-BE49-F238E27FC236}">
              <a16:creationId xmlns:a16="http://schemas.microsoft.com/office/drawing/2014/main" id="{5D7953FC-C392-4A13-9F4A-41EC1504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858000"/>
          <a:ext cx="28575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57151</xdr:rowOff>
    </xdr:from>
    <xdr:to>
      <xdr:col>6</xdr:col>
      <xdr:colOff>463817</xdr:colOff>
      <xdr:row>5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69D283-67A5-4BE6-9C1C-EBCDAB5F62E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73" t="15365" r="22459" b="73376"/>
        <a:stretch/>
      </xdr:blipFill>
      <xdr:spPr bwMode="auto">
        <a:xfrm>
          <a:off x="0" y="247651"/>
          <a:ext cx="7150367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6</xdr:col>
      <xdr:colOff>449331</xdr:colOff>
      <xdr:row>24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072AD1-5CB1-451F-953A-A6371C506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01" t="40098" r="36148" b="55567"/>
        <a:stretch/>
      </xdr:blipFill>
      <xdr:spPr bwMode="auto">
        <a:xfrm>
          <a:off x="0" y="4305300"/>
          <a:ext cx="7135881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6</xdr:col>
      <xdr:colOff>523875</xdr:colOff>
      <xdr:row>68</xdr:row>
      <xdr:rowOff>23623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DDD0CF-72A0-4CE1-B46C-C27C684FA7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575" t="42969" r="31698" b="28646"/>
        <a:stretch/>
      </xdr:blipFill>
      <xdr:spPr bwMode="auto">
        <a:xfrm>
          <a:off x="0" y="10734675"/>
          <a:ext cx="7210425" cy="2881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10968</xdr:rowOff>
    </xdr:from>
    <xdr:to>
      <xdr:col>14</xdr:col>
      <xdr:colOff>686954</xdr:colOff>
      <xdr:row>89</xdr:row>
      <xdr:rowOff>51954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3D9A46-7EDD-438F-8AC6-9386CFF927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51954</xdr:colOff>
      <xdr:row>151</xdr:row>
      <xdr:rowOff>155864</xdr:rowOff>
    </xdr:from>
    <xdr:to>
      <xdr:col>4</xdr:col>
      <xdr:colOff>490682</xdr:colOff>
      <xdr:row>167</xdr:row>
      <xdr:rowOff>104487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8EEF8D-4428-42EC-A1FE-5A8077DE2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88</xdr:row>
      <xdr:rowOff>0</xdr:rowOff>
    </xdr:from>
    <xdr:to>
      <xdr:col>6</xdr:col>
      <xdr:colOff>419099</xdr:colOff>
      <xdr:row>103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545A0C-8C88-4EEB-BD3C-845A59FB9B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434974</xdr:colOff>
      <xdr:row>110</xdr:row>
      <xdr:rowOff>63500</xdr:rowOff>
    </xdr:from>
    <xdr:to>
      <xdr:col>6</xdr:col>
      <xdr:colOff>171449</xdr:colOff>
      <xdr:row>126</xdr:row>
      <xdr:rowOff>44450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B528D5C-9BA4-4AD6-B4E0-5F7836C974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85724</xdr:colOff>
      <xdr:row>133</xdr:row>
      <xdr:rowOff>127000</xdr:rowOff>
    </xdr:from>
    <xdr:to>
      <xdr:col>7</xdr:col>
      <xdr:colOff>12699</xdr:colOff>
      <xdr:row>148</xdr:row>
      <xdr:rowOff>107950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83E546-B3F6-4328-A657-1706978356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146050</xdr:colOff>
      <xdr:row>157</xdr:row>
      <xdr:rowOff>57150</xdr:rowOff>
    </xdr:from>
    <xdr:to>
      <xdr:col>6</xdr:col>
      <xdr:colOff>304800</xdr:colOff>
      <xdr:row>173</xdr:row>
      <xdr:rowOff>6350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4373E52-AA7E-4E97-B092-D3A4D9C51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539750</xdr:colOff>
      <xdr:row>177</xdr:row>
      <xdr:rowOff>152400</xdr:rowOff>
    </xdr:from>
    <xdr:to>
      <xdr:col>6</xdr:col>
      <xdr:colOff>692149</xdr:colOff>
      <xdr:row>192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5B35C26-4371-4FA5-9932-5C63B134F6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57150</xdr:colOff>
      <xdr:row>202</xdr:row>
      <xdr:rowOff>63500</xdr:rowOff>
    </xdr:from>
    <xdr:to>
      <xdr:col>7</xdr:col>
      <xdr:colOff>146049</xdr:colOff>
      <xdr:row>217</xdr:row>
      <xdr:rowOff>44450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3733A17-812B-4C3B-B697-01E8C7C5FF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222250</xdr:colOff>
      <xdr:row>91</xdr:row>
      <xdr:rowOff>127000</xdr:rowOff>
    </xdr:from>
    <xdr:to>
      <xdr:col>20</xdr:col>
      <xdr:colOff>31750</xdr:colOff>
      <xdr:row>116</xdr:row>
      <xdr:rowOff>6350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1B91943-10D1-4975-BE19-96941A9F2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contentitemfile_cm9zhu1wc5fks12dc09c2bvf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21"/>
      <sheetName val="Question 22"/>
      <sheetName val="Question 23"/>
      <sheetName val="Question 24"/>
      <sheetName val="Question 25"/>
      <sheetName val="Question 25 - Data"/>
    </sheetNames>
    <sheetDataSet>
      <sheetData sheetId="0">
        <row r="19">
          <cell r="B19">
            <v>-210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CAAA-AB1E-45CA-8125-EBAEA42B7BA7}">
  <dimension ref="A1:J76"/>
  <sheetViews>
    <sheetView topLeftCell="B60" zoomScale="49" zoomScaleNormal="115" workbookViewId="0">
      <selection activeCell="J28" sqref="J28"/>
    </sheetView>
  </sheetViews>
  <sheetFormatPr defaultColWidth="9.1796875" defaultRowHeight="15.5"/>
  <cols>
    <col min="1" max="1" width="44.81640625" style="33" customWidth="1"/>
    <col min="2" max="2" width="14.54296875" style="33" bestFit="1" customWidth="1"/>
    <col min="3" max="3" width="9.1796875" style="33"/>
    <col min="4" max="4" width="34.7265625" style="33" customWidth="1"/>
    <col min="5" max="5" width="41.81640625" style="33" customWidth="1"/>
    <col min="6" max="6" width="14" style="43" bestFit="1" customWidth="1"/>
    <col min="7" max="7" width="9.1796875" style="33"/>
    <col min="8" max="8" width="9.7265625" style="33" bestFit="1" customWidth="1"/>
    <col min="9" max="9" width="29.26953125" style="33" customWidth="1"/>
    <col min="10" max="10" width="13.453125" style="33" customWidth="1"/>
    <col min="11" max="16384" width="9.1796875" style="33"/>
  </cols>
  <sheetData>
    <row r="1" spans="1:10">
      <c r="I1" s="35" t="s">
        <v>625</v>
      </c>
    </row>
    <row r="3" spans="1:10">
      <c r="A3" s="33" t="s">
        <v>231</v>
      </c>
      <c r="I3" s="33" t="s">
        <v>89</v>
      </c>
      <c r="J3" s="151">
        <f>F5</f>
        <v>3000000</v>
      </c>
    </row>
    <row r="4" spans="1:10">
      <c r="I4" s="33" t="s">
        <v>582</v>
      </c>
      <c r="J4" s="151">
        <f>F21</f>
        <v>2250000</v>
      </c>
    </row>
    <row r="5" spans="1:10">
      <c r="B5" s="33" t="s">
        <v>232</v>
      </c>
      <c r="E5" s="33" t="s">
        <v>581</v>
      </c>
      <c r="F5" s="43">
        <v>3000000</v>
      </c>
      <c r="G5" s="44"/>
      <c r="I5" s="35" t="s">
        <v>22</v>
      </c>
      <c r="J5" s="154">
        <f>J3-J4</f>
        <v>750000</v>
      </c>
    </row>
    <row r="6" spans="1:10">
      <c r="A6" s="33" t="s">
        <v>233</v>
      </c>
      <c r="B6" s="43">
        <v>3000000</v>
      </c>
      <c r="E6" s="33" t="s">
        <v>582</v>
      </c>
      <c r="G6" s="44"/>
      <c r="H6" s="149"/>
      <c r="I6" s="33" t="s">
        <v>626</v>
      </c>
      <c r="J6" s="151">
        <f>F76</f>
        <v>450000</v>
      </c>
    </row>
    <row r="7" spans="1:10">
      <c r="A7" s="33" t="s">
        <v>234</v>
      </c>
      <c r="B7" s="43">
        <v>1500000</v>
      </c>
      <c r="E7" s="33" t="s">
        <v>22</v>
      </c>
      <c r="G7" s="44"/>
      <c r="H7" s="149"/>
      <c r="I7" s="35" t="s">
        <v>26</v>
      </c>
      <c r="J7" s="154">
        <f>J5-J6</f>
        <v>300000</v>
      </c>
    </row>
    <row r="8" spans="1:10">
      <c r="A8" s="33" t="s">
        <v>235</v>
      </c>
      <c r="B8" s="33">
        <v>0.6</v>
      </c>
      <c r="I8" s="33" t="s">
        <v>620</v>
      </c>
      <c r="J8" s="151">
        <f>F74</f>
        <v>150000</v>
      </c>
    </row>
    <row r="9" spans="1:10">
      <c r="A9" s="33" t="s">
        <v>236</v>
      </c>
      <c r="B9" s="33">
        <v>2</v>
      </c>
      <c r="E9" s="33" t="s">
        <v>583</v>
      </c>
      <c r="I9" s="35" t="s">
        <v>622</v>
      </c>
      <c r="J9" s="154">
        <f>J7-J8</f>
        <v>150000</v>
      </c>
    </row>
    <row r="10" spans="1:10">
      <c r="A10" s="33" t="s">
        <v>54</v>
      </c>
      <c r="B10" s="44">
        <v>0.05</v>
      </c>
      <c r="I10" s="33" t="s">
        <v>627</v>
      </c>
      <c r="J10" s="33">
        <v>0</v>
      </c>
    </row>
    <row r="11" spans="1:10" ht="16" thickBot="1">
      <c r="A11" s="33" t="s">
        <v>55</v>
      </c>
      <c r="B11" s="44">
        <v>0.25</v>
      </c>
      <c r="E11" s="33" t="s">
        <v>584</v>
      </c>
      <c r="I11" s="35" t="s">
        <v>255</v>
      </c>
      <c r="J11" s="155">
        <f>SUM(J9:J10)</f>
        <v>150000</v>
      </c>
    </row>
    <row r="12" spans="1:10" ht="16" thickTop="1">
      <c r="A12" s="33" t="s">
        <v>237</v>
      </c>
      <c r="B12" s="33">
        <v>1.25</v>
      </c>
      <c r="E12" s="33" t="s">
        <v>585</v>
      </c>
    </row>
    <row r="13" spans="1:10">
      <c r="A13" s="33" t="s">
        <v>238</v>
      </c>
      <c r="B13" s="44">
        <v>0.02</v>
      </c>
      <c r="E13" s="33" t="s">
        <v>586</v>
      </c>
    </row>
    <row r="14" spans="1:10">
      <c r="A14" s="33" t="s">
        <v>239</v>
      </c>
      <c r="B14" s="45">
        <v>0.8</v>
      </c>
      <c r="E14" s="33" t="s">
        <v>587</v>
      </c>
      <c r="I14" s="35" t="s">
        <v>257</v>
      </c>
    </row>
    <row r="15" spans="1:10">
      <c r="A15" s="33" t="s">
        <v>240</v>
      </c>
      <c r="B15" s="44">
        <v>0.5</v>
      </c>
      <c r="I15" s="35" t="s">
        <v>638</v>
      </c>
    </row>
    <row r="16" spans="1:10">
      <c r="E16" s="33" t="s">
        <v>588</v>
      </c>
      <c r="F16" s="150">
        <v>0.25</v>
      </c>
      <c r="I16" s="33" t="s">
        <v>628</v>
      </c>
      <c r="J16" s="151">
        <f>F50</f>
        <v>3750000</v>
      </c>
    </row>
    <row r="17" spans="1:10">
      <c r="A17" s="35" t="s">
        <v>47</v>
      </c>
      <c r="E17" s="33" t="s">
        <v>589</v>
      </c>
      <c r="F17" s="150">
        <v>0.33333333333333331</v>
      </c>
    </row>
    <row r="18" spans="1:10">
      <c r="A18" s="35" t="s">
        <v>241</v>
      </c>
      <c r="E18" s="150">
        <v>0.25</v>
      </c>
      <c r="F18" s="43" t="s">
        <v>590</v>
      </c>
      <c r="I18" s="35" t="s">
        <v>639</v>
      </c>
    </row>
    <row r="19" spans="1:10">
      <c r="A19" s="33" t="s">
        <v>242</v>
      </c>
      <c r="B19" s="33" t="s">
        <v>243</v>
      </c>
      <c r="E19" s="33" t="s">
        <v>591</v>
      </c>
      <c r="I19" s="33" t="s">
        <v>32</v>
      </c>
      <c r="J19" s="151">
        <f>F38</f>
        <v>1800000</v>
      </c>
    </row>
    <row r="20" spans="1:10">
      <c r="A20" s="33" t="s">
        <v>244</v>
      </c>
      <c r="B20" s="33" t="s">
        <v>245</v>
      </c>
      <c r="E20" s="33" t="s">
        <v>22</v>
      </c>
      <c r="F20" s="43">
        <f>3000000*0.25</f>
        <v>750000</v>
      </c>
      <c r="I20" s="33" t="s">
        <v>71</v>
      </c>
      <c r="J20" s="151">
        <f>F33</f>
        <v>1500000</v>
      </c>
    </row>
    <row r="21" spans="1:10">
      <c r="A21" s="33" t="s">
        <v>246</v>
      </c>
      <c r="B21" s="33" t="s">
        <v>245</v>
      </c>
      <c r="E21" s="33" t="s">
        <v>21</v>
      </c>
      <c r="F21" s="43">
        <f>F5-F20</f>
        <v>2250000</v>
      </c>
      <c r="I21" s="33" t="s">
        <v>629</v>
      </c>
      <c r="J21" s="151">
        <f>F56</f>
        <v>450000</v>
      </c>
    </row>
    <row r="22" spans="1:10">
      <c r="A22" s="33" t="s">
        <v>247</v>
      </c>
      <c r="B22" s="33" t="s">
        <v>245</v>
      </c>
    </row>
    <row r="23" spans="1:10" ht="16" thickBot="1">
      <c r="A23" s="33" t="s">
        <v>248</v>
      </c>
      <c r="B23" s="33" t="s">
        <v>245</v>
      </c>
      <c r="E23" s="33" t="s">
        <v>592</v>
      </c>
      <c r="I23" s="35" t="s">
        <v>630</v>
      </c>
      <c r="J23" s="155">
        <f>SUM(J16:J22)</f>
        <v>7500000</v>
      </c>
    </row>
    <row r="24" spans="1:10" ht="16" thickTop="1">
      <c r="A24" s="33" t="s">
        <v>249</v>
      </c>
      <c r="B24" s="33" t="s">
        <v>245</v>
      </c>
      <c r="E24" s="33" t="s">
        <v>593</v>
      </c>
    </row>
    <row r="25" spans="1:10">
      <c r="A25" s="33" t="s">
        <v>250</v>
      </c>
      <c r="B25" s="33" t="s">
        <v>245</v>
      </c>
      <c r="E25" s="33" t="s">
        <v>605</v>
      </c>
      <c r="F25" s="43">
        <f>3000000*0.05</f>
        <v>150000</v>
      </c>
      <c r="I25" s="35" t="s">
        <v>631</v>
      </c>
    </row>
    <row r="26" spans="1:10">
      <c r="I26" s="35" t="s">
        <v>632</v>
      </c>
    </row>
    <row r="27" spans="1:10">
      <c r="A27" s="33" t="s">
        <v>251</v>
      </c>
      <c r="E27" s="33" t="s">
        <v>595</v>
      </c>
      <c r="F27" s="43">
        <f>F20</f>
        <v>750000</v>
      </c>
      <c r="I27" s="33" t="s">
        <v>633</v>
      </c>
      <c r="J27" s="33">
        <v>2850000</v>
      </c>
    </row>
    <row r="28" spans="1:10">
      <c r="A28" s="33" t="s">
        <v>252</v>
      </c>
      <c r="E28" s="33" t="s">
        <v>596</v>
      </c>
      <c r="F28" s="43">
        <v>600000</v>
      </c>
      <c r="I28" s="35" t="s">
        <v>634</v>
      </c>
    </row>
    <row r="29" spans="1:10">
      <c r="E29" s="33" t="s">
        <v>594</v>
      </c>
      <c r="F29" s="43">
        <v>150000</v>
      </c>
      <c r="I29" s="33" t="str">
        <f>I11</f>
        <v>Retained earnings c/d</v>
      </c>
      <c r="J29" s="151">
        <f>J11</f>
        <v>150000</v>
      </c>
    </row>
    <row r="31" spans="1:10">
      <c r="E31" s="33" t="s">
        <v>597</v>
      </c>
      <c r="I31" s="35" t="s">
        <v>365</v>
      </c>
      <c r="J31" s="156">
        <f>SUM(J27:J30)</f>
        <v>3000000</v>
      </c>
    </row>
    <row r="32" spans="1:10">
      <c r="E32" s="33" t="s">
        <v>598</v>
      </c>
    </row>
    <row r="33" spans="5:10">
      <c r="E33" s="33" t="s">
        <v>599</v>
      </c>
      <c r="F33" s="43">
        <f>3000000/2</f>
        <v>1500000</v>
      </c>
      <c r="I33" s="35" t="s">
        <v>635</v>
      </c>
    </row>
    <row r="34" spans="5:10">
      <c r="E34" s="33" t="s">
        <v>600</v>
      </c>
      <c r="I34" s="33" t="s">
        <v>636</v>
      </c>
      <c r="J34" s="151">
        <f>F66</f>
        <v>3000000</v>
      </c>
    </row>
    <row r="35" spans="5:10">
      <c r="E35" s="33" t="s">
        <v>602</v>
      </c>
    </row>
    <row r="36" spans="5:10">
      <c r="E36" s="33" t="s">
        <v>603</v>
      </c>
      <c r="I36" s="35" t="s">
        <v>637</v>
      </c>
    </row>
    <row r="37" spans="5:10">
      <c r="E37" s="33" t="s">
        <v>601</v>
      </c>
      <c r="I37" s="33" t="s">
        <v>234</v>
      </c>
      <c r="J37" s="151">
        <f>F64</f>
        <v>1500000</v>
      </c>
    </row>
    <row r="38" spans="5:10">
      <c r="E38" s="33" t="s">
        <v>411</v>
      </c>
      <c r="F38" s="43">
        <f>2250000/1.25</f>
        <v>1800000</v>
      </c>
    </row>
    <row r="39" spans="5:10" ht="16" thickBot="1">
      <c r="I39" s="35" t="s">
        <v>631</v>
      </c>
      <c r="J39" s="155">
        <f>SUM(J31:J38)</f>
        <v>7500000</v>
      </c>
    </row>
    <row r="40" spans="5:10" ht="16" thickTop="1">
      <c r="E40" s="33" t="s">
        <v>606</v>
      </c>
    </row>
    <row r="41" spans="5:10">
      <c r="E41" s="33" t="s">
        <v>607</v>
      </c>
    </row>
    <row r="42" spans="5:10">
      <c r="E42" s="33" t="s">
        <v>608</v>
      </c>
      <c r="I42" s="33" t="s">
        <v>640</v>
      </c>
      <c r="J42" s="151">
        <f>J39-J23</f>
        <v>0</v>
      </c>
    </row>
    <row r="43" spans="5:10">
      <c r="E43" s="33" t="s">
        <v>34</v>
      </c>
      <c r="F43" s="43">
        <f>150000/2%</f>
        <v>7500000</v>
      </c>
    </row>
    <row r="44" spans="5:10">
      <c r="E44" s="33" t="s">
        <v>604</v>
      </c>
    </row>
    <row r="45" spans="5:10">
      <c r="E45" s="33" t="s">
        <v>34</v>
      </c>
      <c r="F45" s="43">
        <f>150000/2%</f>
        <v>7500000</v>
      </c>
    </row>
    <row r="46" spans="5:10">
      <c r="F46" s="33"/>
    </row>
    <row r="47" spans="5:10">
      <c r="E47" s="33" t="s">
        <v>609</v>
      </c>
      <c r="F47" s="33"/>
    </row>
    <row r="48" spans="5:10">
      <c r="E48" s="33" t="s">
        <v>613</v>
      </c>
      <c r="F48" s="33"/>
    </row>
    <row r="49" spans="5:6">
      <c r="E49" s="33" t="s">
        <v>610</v>
      </c>
      <c r="F49" s="33"/>
    </row>
    <row r="50" spans="5:6">
      <c r="E50" s="33" t="s">
        <v>611</v>
      </c>
      <c r="F50" s="43">
        <f>3000000/0.8</f>
        <v>3750000</v>
      </c>
    </row>
    <row r="52" spans="5:6">
      <c r="E52" s="33" t="s">
        <v>612</v>
      </c>
      <c r="F52" s="43">
        <f>F45-F50</f>
        <v>3750000</v>
      </c>
    </row>
    <row r="54" spans="5:6">
      <c r="E54" s="33" t="s">
        <v>411</v>
      </c>
      <c r="F54" s="151">
        <f>F38</f>
        <v>1800000</v>
      </c>
    </row>
    <row r="55" spans="5:6">
      <c r="E55" s="33" t="s">
        <v>71</v>
      </c>
      <c r="F55" s="151">
        <f>F33</f>
        <v>1500000</v>
      </c>
    </row>
    <row r="56" spans="5:6">
      <c r="E56" s="33" t="s">
        <v>614</v>
      </c>
      <c r="F56" s="43">
        <v>450000</v>
      </c>
    </row>
    <row r="58" spans="5:6">
      <c r="E58" s="33" t="s">
        <v>615</v>
      </c>
    </row>
    <row r="59" spans="5:6">
      <c r="E59" s="33" t="s">
        <v>616</v>
      </c>
    </row>
    <row r="60" spans="5:6">
      <c r="E60" s="33" t="s">
        <v>617</v>
      </c>
    </row>
    <row r="61" spans="5:6">
      <c r="E61" s="33" t="s">
        <v>303</v>
      </c>
      <c r="F61" s="43">
        <f>0.6*7500000</f>
        <v>4500000</v>
      </c>
    </row>
    <row r="63" spans="5:6">
      <c r="E63" s="33" t="s">
        <v>618</v>
      </c>
    </row>
    <row r="64" spans="5:6">
      <c r="E64" s="33" t="s">
        <v>234</v>
      </c>
      <c r="F64" s="43">
        <f>B7</f>
        <v>1500000</v>
      </c>
    </row>
    <row r="66" spans="5:7">
      <c r="E66" s="33" t="s">
        <v>619</v>
      </c>
      <c r="F66" s="43">
        <f>F61-F64</f>
        <v>3000000</v>
      </c>
    </row>
    <row r="69" spans="5:7">
      <c r="E69" s="33" t="s">
        <v>26</v>
      </c>
      <c r="F69" s="153">
        <v>300000</v>
      </c>
      <c r="G69" s="44"/>
    </row>
    <row r="70" spans="5:7">
      <c r="E70" s="33" t="s">
        <v>621</v>
      </c>
      <c r="F70" s="152">
        <f>50%*F69</f>
        <v>150000</v>
      </c>
      <c r="G70" s="44"/>
    </row>
    <row r="71" spans="5:7">
      <c r="E71" s="33" t="s">
        <v>622</v>
      </c>
      <c r="F71" s="43">
        <f>F69-F70</f>
        <v>150000</v>
      </c>
      <c r="G71" s="44"/>
    </row>
    <row r="73" spans="5:7">
      <c r="E73" s="33" t="s">
        <v>623</v>
      </c>
      <c r="F73" s="43">
        <v>600000</v>
      </c>
    </row>
    <row r="74" spans="5:7">
      <c r="E74" s="33" t="s">
        <v>624</v>
      </c>
      <c r="F74" s="43">
        <v>150000</v>
      </c>
    </row>
    <row r="76" spans="5:7">
      <c r="E76" s="33" t="s">
        <v>23</v>
      </c>
      <c r="F76" s="43">
        <f>F73-F74</f>
        <v>450000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1749-FECF-4EFD-BD30-FEC28BC4A909}">
  <dimension ref="A1:J146"/>
  <sheetViews>
    <sheetView topLeftCell="B94" workbookViewId="0">
      <selection activeCell="G96" sqref="G96"/>
    </sheetView>
  </sheetViews>
  <sheetFormatPr defaultColWidth="9.1796875" defaultRowHeight="15.5"/>
  <cols>
    <col min="1" max="1" width="88.54296875" style="33" bestFit="1" customWidth="1"/>
    <col min="2" max="3" width="3.7265625" style="33" customWidth="1"/>
    <col min="4" max="4" width="42.54296875" style="33" customWidth="1"/>
    <col min="5" max="5" width="24.81640625" style="33" customWidth="1"/>
    <col min="6" max="6" width="14.90625" style="33" bestFit="1" customWidth="1"/>
    <col min="7" max="7" width="14.26953125" style="33" customWidth="1"/>
    <col min="8" max="8" width="16" style="33" customWidth="1"/>
    <col min="9" max="9" width="14.453125" style="33" customWidth="1"/>
    <col min="10" max="10" width="17.1796875" style="33" customWidth="1"/>
    <col min="11" max="11" width="14.7265625" style="33" customWidth="1"/>
    <col min="12" max="16384" width="9.1796875" style="33"/>
  </cols>
  <sheetData>
    <row r="1" spans="1:10">
      <c r="A1" s="39" t="s">
        <v>202</v>
      </c>
      <c r="B1" s="39"/>
      <c r="C1" s="39"/>
    </row>
    <row r="2" spans="1:10">
      <c r="A2" s="40"/>
      <c r="B2" s="40"/>
      <c r="C2" s="40"/>
      <c r="D2" s="35"/>
      <c r="E2" s="35">
        <v>0</v>
      </c>
      <c r="F2" s="35">
        <v>1</v>
      </c>
      <c r="G2" s="35">
        <v>2</v>
      </c>
      <c r="H2" s="35">
        <v>3</v>
      </c>
      <c r="I2" s="35">
        <v>4</v>
      </c>
      <c r="J2" s="35">
        <v>5</v>
      </c>
    </row>
    <row r="3" spans="1:10">
      <c r="A3" s="39" t="s">
        <v>203</v>
      </c>
      <c r="B3" s="39"/>
      <c r="C3" s="39"/>
      <c r="D3" s="35" t="s">
        <v>680</v>
      </c>
      <c r="E3" s="35">
        <v>2023</v>
      </c>
      <c r="F3" s="35">
        <v>2024</v>
      </c>
      <c r="G3" s="35">
        <v>2025</v>
      </c>
      <c r="H3" s="35">
        <v>2026</v>
      </c>
      <c r="I3" s="35">
        <v>2027</v>
      </c>
      <c r="J3" s="35">
        <v>2028</v>
      </c>
    </row>
    <row r="4" spans="1:10">
      <c r="A4" s="40" t="s">
        <v>204</v>
      </c>
      <c r="B4" s="40"/>
      <c r="C4" s="40"/>
      <c r="D4" s="40" t="s">
        <v>703</v>
      </c>
      <c r="E4" s="40"/>
      <c r="F4" s="43">
        <v>1000000</v>
      </c>
      <c r="G4" s="43">
        <v>1000000</v>
      </c>
      <c r="H4" s="43">
        <v>1000000</v>
      </c>
      <c r="I4" s="43">
        <v>1000000</v>
      </c>
      <c r="J4" s="43">
        <v>1000000</v>
      </c>
    </row>
    <row r="5" spans="1:10">
      <c r="A5" s="40" t="s">
        <v>205</v>
      </c>
      <c r="B5" s="40"/>
      <c r="C5" s="40"/>
      <c r="D5" s="40" t="s">
        <v>704</v>
      </c>
      <c r="E5" s="40"/>
      <c r="F5" s="211">
        <v>18.5</v>
      </c>
      <c r="G5" s="131">
        <f>(1+5%)*F$5</f>
        <v>19.425000000000001</v>
      </c>
      <c r="H5" s="131">
        <f t="shared" ref="H5:J5" si="0">(1+5%)*G$5</f>
        <v>20.396250000000002</v>
      </c>
      <c r="I5" s="131">
        <f t="shared" si="0"/>
        <v>21.416062500000002</v>
      </c>
      <c r="J5" s="131">
        <f t="shared" si="0"/>
        <v>22.486865625000004</v>
      </c>
    </row>
    <row r="6" spans="1:10">
      <c r="A6" s="40" t="s">
        <v>206</v>
      </c>
      <c r="B6" s="40"/>
      <c r="C6" s="40"/>
      <c r="D6" s="42" t="s">
        <v>714</v>
      </c>
      <c r="E6" s="42"/>
      <c r="F6" s="44">
        <v>0.42</v>
      </c>
      <c r="G6" s="44">
        <v>0.42</v>
      </c>
      <c r="H6" s="44">
        <v>0.42</v>
      </c>
      <c r="I6" s="44">
        <v>0.42</v>
      </c>
      <c r="J6" s="44">
        <v>0.42</v>
      </c>
    </row>
    <row r="7" spans="1:10">
      <c r="A7" s="40"/>
      <c r="B7" s="40"/>
      <c r="C7" s="40"/>
      <c r="D7" s="42" t="s">
        <v>715</v>
      </c>
      <c r="E7" s="42"/>
      <c r="F7" s="44">
        <f>1-F6</f>
        <v>0.58000000000000007</v>
      </c>
      <c r="G7" s="44">
        <f t="shared" ref="G7:J7" si="1">1-G6</f>
        <v>0.58000000000000007</v>
      </c>
      <c r="H7" s="44">
        <f t="shared" si="1"/>
        <v>0.58000000000000007</v>
      </c>
      <c r="I7" s="44">
        <f t="shared" si="1"/>
        <v>0.58000000000000007</v>
      </c>
      <c r="J7" s="44">
        <f t="shared" si="1"/>
        <v>0.58000000000000007</v>
      </c>
    </row>
    <row r="8" spans="1:10" s="35" customFormat="1">
      <c r="A8" s="39" t="s">
        <v>207</v>
      </c>
      <c r="B8" s="39"/>
      <c r="C8" s="39"/>
      <c r="D8" s="33" t="s">
        <v>705</v>
      </c>
      <c r="E8" s="33"/>
      <c r="F8" s="44">
        <v>0.17</v>
      </c>
      <c r="G8" s="44">
        <v>0.17</v>
      </c>
      <c r="H8" s="44">
        <v>0.17</v>
      </c>
      <c r="I8" s="44">
        <v>0.17</v>
      </c>
      <c r="J8" s="44">
        <v>0.17</v>
      </c>
    </row>
    <row r="9" spans="1:10">
      <c r="A9" s="40" t="s">
        <v>208</v>
      </c>
      <c r="B9" s="40"/>
      <c r="C9" s="40"/>
      <c r="D9" s="42" t="s">
        <v>706</v>
      </c>
      <c r="E9" s="42"/>
      <c r="F9" s="43">
        <v>500000</v>
      </c>
      <c r="G9" s="43">
        <v>500000</v>
      </c>
      <c r="H9" s="43">
        <v>500000</v>
      </c>
      <c r="I9" s="43">
        <v>500000</v>
      </c>
      <c r="J9" s="43">
        <v>500000</v>
      </c>
    </row>
    <row r="10" spans="1:10">
      <c r="A10" s="40" t="s">
        <v>209</v>
      </c>
      <c r="B10" s="40"/>
      <c r="C10" s="40"/>
      <c r="D10" s="42" t="s">
        <v>707</v>
      </c>
      <c r="E10" s="42"/>
      <c r="F10" s="44">
        <v>0.25</v>
      </c>
      <c r="G10" s="44">
        <v>0.25</v>
      </c>
      <c r="H10" s="44">
        <v>0.25</v>
      </c>
      <c r="I10" s="44">
        <v>0.25</v>
      </c>
      <c r="J10" s="44">
        <v>0.25</v>
      </c>
    </row>
    <row r="11" spans="1:10">
      <c r="A11" s="40" t="s">
        <v>210</v>
      </c>
      <c r="B11" s="40"/>
      <c r="C11" s="40"/>
      <c r="D11" s="42" t="s">
        <v>708</v>
      </c>
      <c r="E11" s="42"/>
      <c r="F11" s="44">
        <v>0.1</v>
      </c>
      <c r="G11" s="44">
        <v>0.1</v>
      </c>
      <c r="H11" s="44">
        <v>0.1</v>
      </c>
      <c r="I11" s="44">
        <v>0.1</v>
      </c>
      <c r="J11" s="44">
        <v>0.1</v>
      </c>
    </row>
    <row r="12" spans="1:10">
      <c r="A12" s="40" t="s">
        <v>211</v>
      </c>
      <c r="B12" s="40"/>
      <c r="C12" s="40"/>
      <c r="D12" s="42" t="s">
        <v>697</v>
      </c>
      <c r="E12" s="42"/>
      <c r="F12" s="44">
        <v>0.3</v>
      </c>
      <c r="G12" s="44">
        <v>0.3</v>
      </c>
      <c r="H12" s="44">
        <v>0.3</v>
      </c>
      <c r="I12" s="44">
        <v>0.3</v>
      </c>
      <c r="J12" s="44">
        <v>0.3</v>
      </c>
    </row>
    <row r="13" spans="1:10">
      <c r="A13" s="40" t="s">
        <v>212</v>
      </c>
      <c r="B13" s="40"/>
      <c r="C13" s="40"/>
      <c r="D13" s="42" t="s">
        <v>709</v>
      </c>
      <c r="E13" s="42"/>
      <c r="F13" s="33">
        <v>30</v>
      </c>
      <c r="G13" s="33">
        <v>30</v>
      </c>
      <c r="H13" s="33">
        <v>30</v>
      </c>
      <c r="I13" s="33">
        <v>30</v>
      </c>
      <c r="J13" s="33">
        <v>30</v>
      </c>
    </row>
    <row r="14" spans="1:10">
      <c r="A14" s="40" t="s">
        <v>213</v>
      </c>
      <c r="B14" s="40"/>
      <c r="C14" s="40"/>
      <c r="D14" s="42" t="s">
        <v>710</v>
      </c>
      <c r="E14" s="42"/>
      <c r="F14" s="33">
        <v>14</v>
      </c>
      <c r="G14" s="33">
        <v>14</v>
      </c>
      <c r="H14" s="33">
        <v>14</v>
      </c>
      <c r="I14" s="33">
        <v>14</v>
      </c>
      <c r="J14" s="33">
        <v>14</v>
      </c>
    </row>
    <row r="15" spans="1:10">
      <c r="A15" s="40" t="s">
        <v>214</v>
      </c>
      <c r="B15" s="40"/>
      <c r="C15" s="40"/>
      <c r="D15" s="42" t="s">
        <v>711</v>
      </c>
      <c r="E15" s="42"/>
      <c r="F15" s="33">
        <v>30</v>
      </c>
      <c r="G15" s="33">
        <v>30</v>
      </c>
      <c r="H15" s="33">
        <v>30</v>
      </c>
      <c r="I15" s="33">
        <v>30</v>
      </c>
      <c r="J15" s="33">
        <v>30</v>
      </c>
    </row>
    <row r="16" spans="1:10">
      <c r="A16" s="40" t="s">
        <v>215</v>
      </c>
      <c r="B16" s="40"/>
      <c r="C16" s="40"/>
      <c r="D16" s="33" t="s">
        <v>712</v>
      </c>
      <c r="E16" s="43">
        <v>15000000</v>
      </c>
    </row>
    <row r="17" spans="1:10">
      <c r="A17" s="40" t="s">
        <v>216</v>
      </c>
      <c r="B17" s="40"/>
      <c r="C17" s="40"/>
      <c r="D17" s="40" t="s">
        <v>713</v>
      </c>
      <c r="E17" s="43">
        <v>5000000</v>
      </c>
    </row>
    <row r="18" spans="1:10">
      <c r="A18" s="40" t="s">
        <v>217</v>
      </c>
      <c r="B18" s="40"/>
      <c r="C18" s="40"/>
      <c r="D18" s="40" t="s">
        <v>633</v>
      </c>
      <c r="E18" s="43">
        <v>10000000</v>
      </c>
      <c r="F18" s="43">
        <v>10000000</v>
      </c>
      <c r="G18" s="43">
        <v>10000000</v>
      </c>
      <c r="H18" s="43">
        <v>10000000</v>
      </c>
      <c r="I18" s="43">
        <v>10000000</v>
      </c>
      <c r="J18" s="43">
        <v>10000000</v>
      </c>
    </row>
    <row r="19" spans="1:10">
      <c r="A19" s="40" t="s">
        <v>218</v>
      </c>
      <c r="B19" s="40"/>
      <c r="C19" s="40"/>
    </row>
    <row r="20" spans="1:10">
      <c r="A20" s="40" t="s">
        <v>219</v>
      </c>
      <c r="B20" s="40"/>
      <c r="C20" s="40"/>
    </row>
    <row r="21" spans="1:10">
      <c r="A21" s="40" t="s">
        <v>220</v>
      </c>
      <c r="B21" s="40"/>
      <c r="C21" s="40"/>
      <c r="D21" s="41" t="s">
        <v>625</v>
      </c>
      <c r="E21" s="42">
        <f>E2</f>
        <v>0</v>
      </c>
      <c r="F21" s="42">
        <f t="shared" ref="F21:J21" si="2">F2</f>
        <v>1</v>
      </c>
      <c r="G21" s="42">
        <f t="shared" si="2"/>
        <v>2</v>
      </c>
      <c r="H21" s="42">
        <f t="shared" si="2"/>
        <v>3</v>
      </c>
      <c r="I21" s="42">
        <f t="shared" si="2"/>
        <v>4</v>
      </c>
      <c r="J21" s="42">
        <f t="shared" si="2"/>
        <v>5</v>
      </c>
    </row>
    <row r="22" spans="1:10">
      <c r="A22" s="40" t="s">
        <v>221</v>
      </c>
      <c r="B22" s="40"/>
      <c r="C22" s="40"/>
      <c r="D22" s="42"/>
      <c r="E22" s="214">
        <f>E3</f>
        <v>2023</v>
      </c>
      <c r="F22" s="214">
        <f t="shared" ref="F22:J22" si="3">F3</f>
        <v>2024</v>
      </c>
      <c r="G22" s="214">
        <f t="shared" si="3"/>
        <v>2025</v>
      </c>
      <c r="H22" s="214">
        <f t="shared" si="3"/>
        <v>2026</v>
      </c>
      <c r="I22" s="214">
        <f t="shared" si="3"/>
        <v>2027</v>
      </c>
      <c r="J22" s="214">
        <f t="shared" si="3"/>
        <v>2028</v>
      </c>
    </row>
    <row r="23" spans="1:10">
      <c r="A23" s="39" t="s">
        <v>222</v>
      </c>
      <c r="B23" s="39"/>
      <c r="C23" s="39"/>
      <c r="D23" s="42" t="s">
        <v>20</v>
      </c>
      <c r="E23" s="212">
        <f>E4*E5</f>
        <v>0</v>
      </c>
      <c r="F23" s="212">
        <f>F4*F5</f>
        <v>18500000</v>
      </c>
      <c r="G23" s="212">
        <f t="shared" ref="G23:J23" si="4">G4*G5</f>
        <v>19425000</v>
      </c>
      <c r="H23" s="212">
        <f t="shared" si="4"/>
        <v>20396250.000000004</v>
      </c>
      <c r="I23" s="212">
        <f t="shared" si="4"/>
        <v>21416062.500000004</v>
      </c>
      <c r="J23" s="212">
        <f t="shared" si="4"/>
        <v>22486865.625000004</v>
      </c>
    </row>
    <row r="24" spans="1:10">
      <c r="A24" s="40" t="s">
        <v>223</v>
      </c>
      <c r="B24" s="40"/>
      <c r="C24" s="40"/>
      <c r="D24" s="33" t="s">
        <v>21</v>
      </c>
      <c r="E24" s="43">
        <f>E6*E23</f>
        <v>0</v>
      </c>
      <c r="F24" s="43">
        <f t="shared" ref="F24:J24" si="5">F6*F23</f>
        <v>7770000</v>
      </c>
      <c r="G24" s="43">
        <f t="shared" si="5"/>
        <v>8158500</v>
      </c>
      <c r="H24" s="43">
        <f t="shared" si="5"/>
        <v>8566425.0000000019</v>
      </c>
      <c r="I24" s="43">
        <f t="shared" si="5"/>
        <v>8994746.2500000019</v>
      </c>
      <c r="J24" s="43">
        <f t="shared" si="5"/>
        <v>9444483.5625000019</v>
      </c>
    </row>
    <row r="25" spans="1:10">
      <c r="A25" s="40" t="s">
        <v>224</v>
      </c>
      <c r="B25" s="40"/>
      <c r="C25" s="40"/>
      <c r="D25" s="41" t="s">
        <v>22</v>
      </c>
      <c r="E25" s="213">
        <f>E23-E24</f>
        <v>0</v>
      </c>
      <c r="F25" s="213">
        <f t="shared" ref="F25:J25" si="6">F23-F24</f>
        <v>10730000</v>
      </c>
      <c r="G25" s="213">
        <f t="shared" si="6"/>
        <v>11266500</v>
      </c>
      <c r="H25" s="213">
        <f t="shared" si="6"/>
        <v>11829825.000000002</v>
      </c>
      <c r="I25" s="213">
        <f t="shared" si="6"/>
        <v>12421316.250000002</v>
      </c>
      <c r="J25" s="213">
        <f t="shared" si="6"/>
        <v>13042382.062500002</v>
      </c>
    </row>
    <row r="26" spans="1:10">
      <c r="A26" s="40"/>
      <c r="B26" s="40"/>
      <c r="C26" s="40"/>
      <c r="D26" s="35" t="s">
        <v>716</v>
      </c>
      <c r="E26" s="212"/>
      <c r="F26" s="212"/>
      <c r="G26" s="212"/>
      <c r="H26" s="212"/>
      <c r="I26" s="212"/>
      <c r="J26" s="212"/>
    </row>
    <row r="27" spans="1:10">
      <c r="A27" s="40" t="s">
        <v>225</v>
      </c>
      <c r="B27" s="40"/>
      <c r="C27" s="40"/>
      <c r="D27" s="42" t="s">
        <v>717</v>
      </c>
      <c r="E27" s="212">
        <f>E8*E23</f>
        <v>0</v>
      </c>
      <c r="F27" s="212">
        <f t="shared" ref="F27:J27" si="7">F8*F23</f>
        <v>3145000</v>
      </c>
      <c r="G27" s="212">
        <f t="shared" si="7"/>
        <v>3302250.0000000005</v>
      </c>
      <c r="H27" s="212">
        <f t="shared" si="7"/>
        <v>3467362.5000000009</v>
      </c>
      <c r="I27" s="212">
        <f t="shared" si="7"/>
        <v>3640730.6250000009</v>
      </c>
      <c r="J27" s="212">
        <f t="shared" si="7"/>
        <v>3822767.1562500009</v>
      </c>
    </row>
    <row r="28" spans="1:10">
      <c r="A28" s="40" t="s">
        <v>226</v>
      </c>
      <c r="B28" s="40"/>
      <c r="C28" s="40"/>
      <c r="D28" s="42" t="s">
        <v>706</v>
      </c>
      <c r="E28" s="212">
        <f>E9</f>
        <v>0</v>
      </c>
      <c r="F28" s="212">
        <f t="shared" ref="F28:J28" si="8">F9</f>
        <v>500000</v>
      </c>
      <c r="G28" s="212">
        <f t="shared" si="8"/>
        <v>500000</v>
      </c>
      <c r="H28" s="212">
        <f t="shared" si="8"/>
        <v>500000</v>
      </c>
      <c r="I28" s="212">
        <f t="shared" si="8"/>
        <v>500000</v>
      </c>
      <c r="J28" s="212">
        <f t="shared" si="8"/>
        <v>500000</v>
      </c>
    </row>
    <row r="29" spans="1:10">
      <c r="A29" s="40" t="s">
        <v>227</v>
      </c>
      <c r="B29" s="40"/>
      <c r="C29" s="40"/>
      <c r="D29" s="33" t="s">
        <v>718</v>
      </c>
      <c r="E29" s="212">
        <f t="shared" ref="E29:J29" si="9">E115</f>
        <v>0</v>
      </c>
      <c r="F29" s="212">
        <f t="shared" si="9"/>
        <v>3750000</v>
      </c>
      <c r="G29" s="212">
        <f t="shared" si="9"/>
        <v>2812500</v>
      </c>
      <c r="H29" s="212">
        <f t="shared" si="9"/>
        <v>2109375</v>
      </c>
      <c r="I29" s="212">
        <f t="shared" si="9"/>
        <v>1582031.25</v>
      </c>
      <c r="J29" s="212">
        <f t="shared" si="9"/>
        <v>1186523.4375</v>
      </c>
    </row>
    <row r="30" spans="1:10">
      <c r="A30" s="40"/>
      <c r="B30" s="40"/>
      <c r="C30" s="40"/>
      <c r="D30" s="33" t="s">
        <v>25</v>
      </c>
      <c r="E30" s="212">
        <f t="shared" ref="E30:J30" si="10">E131</f>
        <v>0</v>
      </c>
      <c r="F30" s="212">
        <f t="shared" si="10"/>
        <v>500000</v>
      </c>
      <c r="G30" s="212">
        <f t="shared" si="10"/>
        <v>418101.25960262731</v>
      </c>
      <c r="H30" s="212">
        <f t="shared" si="10"/>
        <v>328012.64516551734</v>
      </c>
      <c r="I30" s="212">
        <f t="shared" si="10"/>
        <v>228915.16928469637</v>
      </c>
      <c r="J30" s="212">
        <f t="shared" si="10"/>
        <v>119907.94581579331</v>
      </c>
    </row>
    <row r="31" spans="1:10">
      <c r="A31" s="40" t="s">
        <v>228</v>
      </c>
      <c r="B31" s="40"/>
      <c r="C31" s="40"/>
      <c r="D31" s="41" t="s">
        <v>26</v>
      </c>
      <c r="E31" s="213">
        <f>E25-E27-E28-E29-E30</f>
        <v>0</v>
      </c>
      <c r="F31" s="213">
        <f t="shared" ref="F31:J31" si="11">F25-F27-F28-F29-F30</f>
        <v>2835000</v>
      </c>
      <c r="G31" s="213">
        <f t="shared" si="11"/>
        <v>4233648.7403973723</v>
      </c>
      <c r="H31" s="213">
        <f t="shared" si="11"/>
        <v>5425074.8548344839</v>
      </c>
      <c r="I31" s="213">
        <f t="shared" si="11"/>
        <v>6469639.2057153033</v>
      </c>
      <c r="J31" s="213">
        <f t="shared" si="11"/>
        <v>7413183.5229342068</v>
      </c>
    </row>
    <row r="32" spans="1:10">
      <c r="A32" s="40"/>
      <c r="B32" s="40"/>
      <c r="C32" s="40"/>
      <c r="D32" s="42" t="s">
        <v>624</v>
      </c>
      <c r="E32" s="212">
        <f>E12*E31</f>
        <v>0</v>
      </c>
      <c r="F32" s="212">
        <f t="shared" ref="F32:J32" si="12">F12*F31</f>
        <v>850500</v>
      </c>
      <c r="G32" s="212">
        <f t="shared" si="12"/>
        <v>1270094.6221192116</v>
      </c>
      <c r="H32" s="212">
        <f t="shared" si="12"/>
        <v>1627522.4564503452</v>
      </c>
      <c r="I32" s="212">
        <f t="shared" si="12"/>
        <v>1940891.7617145909</v>
      </c>
      <c r="J32" s="212">
        <f t="shared" si="12"/>
        <v>2223955.0568802617</v>
      </c>
    </row>
    <row r="33" spans="1:10">
      <c r="A33" s="40" t="s">
        <v>229</v>
      </c>
      <c r="B33" s="40"/>
      <c r="C33" s="40"/>
      <c r="D33" s="41" t="s">
        <v>122</v>
      </c>
      <c r="E33" s="213">
        <f>E31-E32</f>
        <v>0</v>
      </c>
      <c r="F33" s="213">
        <f t="shared" ref="F33:J33" si="13">F31-F32</f>
        <v>1984500</v>
      </c>
      <c r="G33" s="213">
        <f t="shared" si="13"/>
        <v>2963554.1182781607</v>
      </c>
      <c r="H33" s="213">
        <f t="shared" si="13"/>
        <v>3797552.3983841389</v>
      </c>
      <c r="I33" s="213">
        <f t="shared" si="13"/>
        <v>4528747.4440007126</v>
      </c>
      <c r="J33" s="213">
        <f t="shared" si="13"/>
        <v>5189228.466053945</v>
      </c>
    </row>
    <row r="34" spans="1:10">
      <c r="A34" s="40" t="s">
        <v>230</v>
      </c>
      <c r="B34" s="40"/>
      <c r="C34" s="40"/>
      <c r="D34" s="42" t="s">
        <v>254</v>
      </c>
      <c r="E34" s="212">
        <v>0</v>
      </c>
      <c r="F34" s="43">
        <f>E35</f>
        <v>0</v>
      </c>
      <c r="G34" s="43">
        <f>F35</f>
        <v>1984500</v>
      </c>
      <c r="H34" s="43">
        <f t="shared" ref="H34:J34" si="14">G35</f>
        <v>4948054.1182781607</v>
      </c>
      <c r="I34" s="43">
        <f t="shared" si="14"/>
        <v>8745606.5166622996</v>
      </c>
      <c r="J34" s="43">
        <f t="shared" si="14"/>
        <v>13274353.960663013</v>
      </c>
    </row>
    <row r="35" spans="1:10">
      <c r="D35" s="35" t="s">
        <v>255</v>
      </c>
      <c r="E35" s="156">
        <f>E33+E34</f>
        <v>0</v>
      </c>
      <c r="F35" s="156">
        <f>F33+F34</f>
        <v>1984500</v>
      </c>
      <c r="G35" s="156">
        <f t="shared" ref="G35:J35" si="15">G33+G34</f>
        <v>4948054.1182781607</v>
      </c>
      <c r="H35" s="156">
        <f t="shared" si="15"/>
        <v>8745606.5166622996</v>
      </c>
      <c r="I35" s="156">
        <f t="shared" si="15"/>
        <v>13274353.960663013</v>
      </c>
      <c r="J35" s="156">
        <f t="shared" si="15"/>
        <v>18463582.426716957</v>
      </c>
    </row>
    <row r="36" spans="1:10">
      <c r="A36" s="40"/>
      <c r="B36" s="40"/>
      <c r="C36" s="40"/>
      <c r="D36" s="42"/>
      <c r="E36" s="212"/>
      <c r="F36" s="43"/>
      <c r="G36" s="43"/>
      <c r="H36" s="43"/>
      <c r="I36" s="43"/>
      <c r="J36" s="43"/>
    </row>
    <row r="37" spans="1:10">
      <c r="A37" s="39"/>
      <c r="B37" s="39"/>
      <c r="C37" s="39"/>
      <c r="E37" s="212"/>
      <c r="F37" s="43"/>
      <c r="G37" s="43"/>
      <c r="H37" s="43"/>
      <c r="I37" s="43"/>
      <c r="J37" s="43"/>
    </row>
    <row r="38" spans="1:10">
      <c r="A38" s="39"/>
      <c r="B38" s="39"/>
      <c r="C38" s="39"/>
      <c r="E38" s="212"/>
      <c r="F38" s="43"/>
      <c r="G38" s="43"/>
      <c r="H38" s="43"/>
      <c r="I38" s="43"/>
      <c r="J38" s="43"/>
    </row>
    <row r="39" spans="1:10">
      <c r="A39" s="39"/>
      <c r="B39" s="39"/>
      <c r="C39" s="39"/>
      <c r="D39" s="41" t="s">
        <v>257</v>
      </c>
      <c r="E39" s="218">
        <v>0</v>
      </c>
      <c r="F39" s="218">
        <v>1</v>
      </c>
      <c r="G39" s="218">
        <v>2</v>
      </c>
      <c r="H39" s="218">
        <v>3</v>
      </c>
      <c r="I39" s="218">
        <v>4</v>
      </c>
      <c r="J39" s="218">
        <v>5</v>
      </c>
    </row>
    <row r="40" spans="1:10">
      <c r="A40" s="40"/>
      <c r="B40" s="40"/>
      <c r="C40" s="40"/>
      <c r="E40" s="218">
        <v>2023</v>
      </c>
      <c r="F40" s="218">
        <v>2024</v>
      </c>
      <c r="G40" s="218">
        <v>2025</v>
      </c>
      <c r="H40" s="218">
        <v>2026</v>
      </c>
      <c r="I40" s="218">
        <v>2027</v>
      </c>
      <c r="J40" s="218">
        <v>2028</v>
      </c>
    </row>
    <row r="41" spans="1:10">
      <c r="A41" s="39"/>
      <c r="B41" s="39"/>
      <c r="C41" s="39"/>
      <c r="D41" s="41" t="s">
        <v>732</v>
      </c>
      <c r="E41" s="212"/>
      <c r="F41" s="43"/>
      <c r="G41" s="43"/>
      <c r="H41" s="43"/>
      <c r="I41" s="43"/>
      <c r="J41" s="43"/>
    </row>
    <row r="42" spans="1:10">
      <c r="A42" s="39"/>
      <c r="B42" s="39"/>
      <c r="C42" s="39"/>
      <c r="D42" s="42" t="s">
        <v>628</v>
      </c>
      <c r="E42" s="212">
        <f t="shared" ref="E42:J42" si="16">E116</f>
        <v>15000000</v>
      </c>
      <c r="F42" s="212">
        <f t="shared" si="16"/>
        <v>11250000</v>
      </c>
      <c r="G42" s="212">
        <f t="shared" si="16"/>
        <v>8437500</v>
      </c>
      <c r="H42" s="212">
        <f t="shared" si="16"/>
        <v>6328125</v>
      </c>
      <c r="I42" s="212">
        <f t="shared" si="16"/>
        <v>4746093.75</v>
      </c>
      <c r="J42" s="212">
        <f t="shared" si="16"/>
        <v>3559570.3125</v>
      </c>
    </row>
    <row r="43" spans="1:10">
      <c r="E43" s="43"/>
      <c r="F43" s="43"/>
      <c r="G43" s="43"/>
      <c r="H43" s="43"/>
      <c r="I43" s="43"/>
      <c r="J43" s="43"/>
    </row>
    <row r="44" spans="1:10">
      <c r="D44" s="35" t="s">
        <v>639</v>
      </c>
    </row>
    <row r="45" spans="1:10">
      <c r="D45" s="33" t="s">
        <v>71</v>
      </c>
      <c r="E45" s="151">
        <f>(E13/365)*E23</f>
        <v>0</v>
      </c>
      <c r="F45" s="151">
        <f t="shared" ref="F45:J45" si="17">(F13/365)*F23</f>
        <v>1520547.9452054794</v>
      </c>
      <c r="G45" s="151">
        <f t="shared" si="17"/>
        <v>1596575.3424657534</v>
      </c>
      <c r="H45" s="151">
        <f t="shared" si="17"/>
        <v>1676404.1095890412</v>
      </c>
      <c r="I45" s="151">
        <f t="shared" si="17"/>
        <v>1760224.3150684934</v>
      </c>
      <c r="J45" s="151">
        <f t="shared" si="17"/>
        <v>1848235.530821918</v>
      </c>
    </row>
    <row r="46" spans="1:10">
      <c r="A46" s="39"/>
      <c r="B46" s="39"/>
      <c r="C46" s="39"/>
      <c r="D46" s="40" t="s">
        <v>32</v>
      </c>
      <c r="E46" s="219">
        <f>(14/365)*E24</f>
        <v>0</v>
      </c>
      <c r="F46" s="219">
        <f t="shared" ref="F46:J46" si="18">(14/365)*F24</f>
        <v>298027.39726027398</v>
      </c>
      <c r="G46" s="219">
        <f t="shared" si="18"/>
        <v>312928.76712328766</v>
      </c>
      <c r="H46" s="219">
        <f t="shared" si="18"/>
        <v>328575.20547945215</v>
      </c>
      <c r="I46" s="219">
        <f t="shared" si="18"/>
        <v>345003.96575342474</v>
      </c>
      <c r="J46" s="219">
        <f t="shared" si="18"/>
        <v>362254.164041096</v>
      </c>
    </row>
    <row r="47" spans="1:10">
      <c r="A47" s="39"/>
      <c r="B47" s="39"/>
      <c r="C47" s="39"/>
      <c r="D47" s="35" t="s">
        <v>746</v>
      </c>
      <c r="E47" s="154">
        <f>E103</f>
        <v>0</v>
      </c>
      <c r="F47" s="154">
        <f t="shared" ref="F47:J47" si="19">F103</f>
        <v>3735567.3905468206</v>
      </c>
      <c r="G47" s="154">
        <f t="shared" si="19"/>
        <v>8551738.1041799095</v>
      </c>
      <c r="H47" s="154">
        <f t="shared" si="19"/>
        <v>13405743.620468168</v>
      </c>
      <c r="I47" s="154">
        <f t="shared" si="19"/>
        <v>18361405.600327794</v>
      </c>
      <c r="J47" s="154">
        <f t="shared" si="19"/>
        <v>23469781.342299148</v>
      </c>
    </row>
    <row r="48" spans="1:10">
      <c r="A48" s="39"/>
      <c r="B48" s="39"/>
      <c r="C48" s="39"/>
      <c r="D48" s="42"/>
      <c r="E48" s="42"/>
    </row>
    <row r="49" spans="1:10" ht="16" thickBot="1">
      <c r="A49" s="40"/>
      <c r="B49" s="40"/>
      <c r="C49" s="40"/>
      <c r="D49" s="227" t="s">
        <v>630</v>
      </c>
      <c r="E49" s="227">
        <f>SUM(E42:E48)</f>
        <v>15000000</v>
      </c>
      <c r="F49" s="227">
        <f t="shared" ref="F49:J49" si="20">SUM(F42:F48)</f>
        <v>16804142.733012576</v>
      </c>
      <c r="G49" s="227">
        <f t="shared" si="20"/>
        <v>18898742.213768952</v>
      </c>
      <c r="H49" s="227">
        <f t="shared" si="20"/>
        <v>21738847.93553666</v>
      </c>
      <c r="I49" s="227">
        <f t="shared" si="20"/>
        <v>25212727.631149713</v>
      </c>
      <c r="J49" s="227">
        <f t="shared" si="20"/>
        <v>29239841.349662162</v>
      </c>
    </row>
    <row r="50" spans="1:10" ht="16" thickTop="1">
      <c r="A50" s="39"/>
      <c r="B50" s="39"/>
      <c r="C50" s="39"/>
      <c r="D50" s="42"/>
      <c r="E50" s="42"/>
    </row>
    <row r="51" spans="1:10">
      <c r="A51" s="39"/>
      <c r="B51" s="39"/>
      <c r="C51" s="39"/>
      <c r="D51" s="35" t="s">
        <v>733</v>
      </c>
    </row>
    <row r="52" spans="1:10">
      <c r="A52" s="40"/>
      <c r="B52" s="40"/>
      <c r="C52" s="40"/>
      <c r="D52" s="41" t="s">
        <v>734</v>
      </c>
      <c r="E52" s="42"/>
    </row>
    <row r="53" spans="1:10">
      <c r="A53" s="40"/>
      <c r="B53" s="40"/>
      <c r="C53" s="40"/>
      <c r="D53" s="42" t="s">
        <v>633</v>
      </c>
      <c r="E53" s="42">
        <f>E18</f>
        <v>10000000</v>
      </c>
      <c r="F53" s="42">
        <f t="shared" ref="F53:J53" si="21">F18</f>
        <v>10000000</v>
      </c>
      <c r="G53" s="42">
        <f t="shared" si="21"/>
        <v>10000000</v>
      </c>
      <c r="H53" s="42">
        <f t="shared" si="21"/>
        <v>10000000</v>
      </c>
      <c r="I53" s="42">
        <f t="shared" si="21"/>
        <v>10000000</v>
      </c>
      <c r="J53" s="42">
        <f t="shared" si="21"/>
        <v>10000000</v>
      </c>
    </row>
    <row r="54" spans="1:10">
      <c r="A54" s="40"/>
      <c r="B54" s="40"/>
      <c r="C54" s="40"/>
      <c r="D54" s="39" t="s">
        <v>634</v>
      </c>
      <c r="E54" s="40"/>
    </row>
    <row r="55" spans="1:10">
      <c r="A55" s="40"/>
      <c r="B55" s="40"/>
      <c r="C55" s="40"/>
      <c r="D55" s="40" t="s">
        <v>255</v>
      </c>
      <c r="E55" s="219">
        <f>E35</f>
        <v>0</v>
      </c>
      <c r="F55" s="219">
        <f t="shared" ref="F55:J55" si="22">F35</f>
        <v>1984500</v>
      </c>
      <c r="G55" s="219">
        <f t="shared" si="22"/>
        <v>4948054.1182781607</v>
      </c>
      <c r="H55" s="219">
        <f t="shared" si="22"/>
        <v>8745606.5166622996</v>
      </c>
      <c r="I55" s="219">
        <f t="shared" si="22"/>
        <v>13274353.960663013</v>
      </c>
      <c r="J55" s="219">
        <f t="shared" si="22"/>
        <v>18463582.426716957</v>
      </c>
    </row>
    <row r="56" spans="1:10">
      <c r="A56" s="39"/>
      <c r="B56" s="39"/>
      <c r="C56" s="39"/>
      <c r="D56" s="42"/>
      <c r="E56" s="42"/>
    </row>
    <row r="57" spans="1:10">
      <c r="A57" s="39"/>
      <c r="B57" s="39"/>
      <c r="C57" s="39"/>
      <c r="D57" s="35" t="s">
        <v>735</v>
      </c>
      <c r="E57" s="220">
        <f>SUM(E53:E56)</f>
        <v>10000000</v>
      </c>
      <c r="F57" s="220">
        <f t="shared" ref="F57:J57" si="23">SUM(F53:F56)</f>
        <v>11984500</v>
      </c>
      <c r="G57" s="220">
        <f t="shared" si="23"/>
        <v>14948054.118278161</v>
      </c>
      <c r="H57" s="220">
        <f t="shared" si="23"/>
        <v>18745606.5166623</v>
      </c>
      <c r="I57" s="220">
        <f t="shared" si="23"/>
        <v>23274353.960663013</v>
      </c>
      <c r="J57" s="220">
        <f t="shared" si="23"/>
        <v>28463582.426716957</v>
      </c>
    </row>
    <row r="58" spans="1:10">
      <c r="A58" s="40"/>
      <c r="B58" s="40"/>
      <c r="C58" s="40"/>
      <c r="D58" s="40"/>
      <c r="E58" s="40"/>
    </row>
    <row r="59" spans="1:10">
      <c r="A59" s="40"/>
      <c r="B59" s="40"/>
      <c r="C59" s="40"/>
      <c r="D59" s="39" t="s">
        <v>635</v>
      </c>
      <c r="E59" s="40"/>
    </row>
    <row r="60" spans="1:10">
      <c r="A60" s="39"/>
      <c r="B60" s="39"/>
      <c r="C60" s="39"/>
      <c r="D60" s="40" t="s">
        <v>713</v>
      </c>
      <c r="E60" s="219">
        <f>E133</f>
        <v>5000000</v>
      </c>
      <c r="F60" s="219">
        <f t="shared" ref="F60:J60" si="24">F133</f>
        <v>4181012.596026273</v>
      </c>
      <c r="G60" s="219">
        <f t="shared" si="24"/>
        <v>3280126.4516551732</v>
      </c>
      <c r="H60" s="219">
        <f t="shared" si="24"/>
        <v>2289151.6928469636</v>
      </c>
      <c r="I60" s="219">
        <f t="shared" si="24"/>
        <v>1199079.4581579331</v>
      </c>
      <c r="J60" s="219">
        <f t="shared" si="24"/>
        <v>0</v>
      </c>
    </row>
    <row r="61" spans="1:10">
      <c r="A61" s="39"/>
      <c r="B61" s="39"/>
      <c r="C61" s="39"/>
      <c r="D61" s="42"/>
      <c r="E61" s="42"/>
    </row>
    <row r="62" spans="1:10">
      <c r="A62" s="39"/>
      <c r="B62" s="39"/>
      <c r="C62" s="39"/>
      <c r="D62" s="41" t="s">
        <v>736</v>
      </c>
      <c r="E62" s="42"/>
    </row>
    <row r="63" spans="1:10">
      <c r="A63" s="39"/>
      <c r="B63" s="39"/>
      <c r="C63" s="39"/>
      <c r="D63" s="42" t="s">
        <v>41</v>
      </c>
      <c r="E63" s="42">
        <f>(E15/365)*E24</f>
        <v>0</v>
      </c>
      <c r="F63" s="42">
        <f t="shared" ref="F63:J63" si="25">(F15/365)*F24</f>
        <v>638630.13698630128</v>
      </c>
      <c r="G63" s="42">
        <f t="shared" si="25"/>
        <v>670561.64383561641</v>
      </c>
      <c r="H63" s="42">
        <f t="shared" si="25"/>
        <v>704089.72602739732</v>
      </c>
      <c r="I63" s="42">
        <f t="shared" si="25"/>
        <v>739294.21232876729</v>
      </c>
      <c r="J63" s="42">
        <f t="shared" si="25"/>
        <v>776258.92294520559</v>
      </c>
    </row>
    <row r="64" spans="1:10">
      <c r="A64" s="39"/>
      <c r="B64" s="39"/>
      <c r="C64" s="39"/>
      <c r="D64" s="42"/>
      <c r="E64" s="42"/>
    </row>
    <row r="65" spans="1:10">
      <c r="D65" s="35" t="s">
        <v>737</v>
      </c>
      <c r="E65" s="154">
        <f>SUM(E60:E64)</f>
        <v>5000000</v>
      </c>
      <c r="F65" s="154">
        <f t="shared" ref="F65:J65" si="26">SUM(F60:F64)</f>
        <v>4819642.7330125738</v>
      </c>
      <c r="G65" s="154">
        <f t="shared" si="26"/>
        <v>3950688.0954907895</v>
      </c>
      <c r="H65" s="154">
        <f t="shared" si="26"/>
        <v>2993241.4188743611</v>
      </c>
      <c r="I65" s="154">
        <f t="shared" si="26"/>
        <v>1938373.6704867003</v>
      </c>
      <c r="J65" s="154">
        <f t="shared" si="26"/>
        <v>776258.92294520559</v>
      </c>
    </row>
    <row r="67" spans="1:10" ht="16" thickBot="1">
      <c r="A67" s="39"/>
      <c r="B67" s="39"/>
      <c r="C67" s="39"/>
      <c r="D67" s="228" t="s">
        <v>738</v>
      </c>
      <c r="E67" s="155">
        <f>SUM(E65,E57)</f>
        <v>15000000</v>
      </c>
      <c r="F67" s="155">
        <f t="shared" ref="F67:J67" si="27">SUM(F65,F57)</f>
        <v>16804142.733012572</v>
      </c>
      <c r="G67" s="155">
        <f t="shared" si="27"/>
        <v>18898742.213768952</v>
      </c>
      <c r="H67" s="155">
        <f t="shared" si="27"/>
        <v>21738847.93553666</v>
      </c>
      <c r="I67" s="155">
        <f t="shared" si="27"/>
        <v>25212727.631149713</v>
      </c>
      <c r="J67" s="155">
        <f t="shared" si="27"/>
        <v>29239841.349662162</v>
      </c>
    </row>
    <row r="68" spans="1:10" ht="16" thickTop="1">
      <c r="A68" s="40"/>
      <c r="B68" s="40"/>
      <c r="C68" s="40"/>
    </row>
    <row r="69" spans="1:10">
      <c r="A69" s="40"/>
      <c r="B69" s="40"/>
      <c r="C69" s="40"/>
      <c r="D69" s="35" t="s">
        <v>739</v>
      </c>
      <c r="E69" s="154">
        <f>E49-E67</f>
        <v>0</v>
      </c>
      <c r="F69" s="154">
        <f t="shared" ref="F69:J69" si="28">F49-F67</f>
        <v>0</v>
      </c>
      <c r="G69" s="154">
        <f t="shared" si="28"/>
        <v>0</v>
      </c>
      <c r="H69" s="154">
        <f t="shared" si="28"/>
        <v>0</v>
      </c>
      <c r="I69" s="154">
        <f t="shared" si="28"/>
        <v>0</v>
      </c>
      <c r="J69" s="154">
        <f t="shared" si="28"/>
        <v>0</v>
      </c>
    </row>
    <row r="70" spans="1:10">
      <c r="A70" s="40"/>
      <c r="B70" s="40"/>
      <c r="C70" s="40"/>
      <c r="E70" s="151"/>
      <c r="F70" s="151"/>
      <c r="G70" s="151"/>
      <c r="H70" s="151"/>
      <c r="I70" s="151"/>
      <c r="J70" s="151"/>
    </row>
    <row r="71" spans="1:10">
      <c r="A71" s="40"/>
      <c r="B71" s="40"/>
      <c r="C71" s="40"/>
      <c r="E71" s="151"/>
      <c r="F71" s="151"/>
      <c r="G71" s="151"/>
      <c r="H71" s="151"/>
      <c r="I71" s="151"/>
      <c r="J71" s="151"/>
    </row>
    <row r="72" spans="1:10">
      <c r="A72" s="40"/>
      <c r="B72" s="40"/>
      <c r="C72" s="40"/>
      <c r="D72" s="35" t="s">
        <v>778</v>
      </c>
      <c r="E72" s="218">
        <v>0</v>
      </c>
      <c r="F72" s="218">
        <v>1</v>
      </c>
      <c r="G72" s="218">
        <v>2</v>
      </c>
      <c r="H72" s="218">
        <v>3</v>
      </c>
      <c r="I72" s="218">
        <v>4</v>
      </c>
      <c r="J72" s="218">
        <v>5</v>
      </c>
    </row>
    <row r="73" spans="1:10">
      <c r="A73" s="40"/>
      <c r="B73" s="40"/>
      <c r="C73" s="40"/>
      <c r="E73" s="218">
        <v>2023</v>
      </c>
      <c r="F73" s="218">
        <v>2024</v>
      </c>
      <c r="G73" s="218">
        <v>2025</v>
      </c>
      <c r="H73" s="218">
        <v>2026</v>
      </c>
      <c r="I73" s="218">
        <v>2027</v>
      </c>
      <c r="J73" s="218">
        <v>2028</v>
      </c>
    </row>
    <row r="74" spans="1:10">
      <c r="A74" s="40"/>
      <c r="B74" s="40"/>
      <c r="C74" s="40"/>
      <c r="E74" s="151"/>
      <c r="F74" s="151"/>
      <c r="G74" s="151"/>
      <c r="H74" s="151"/>
      <c r="I74" s="151"/>
      <c r="J74" s="151"/>
    </row>
    <row r="75" spans="1:10">
      <c r="A75" s="40"/>
      <c r="B75" s="40"/>
      <c r="C75" s="40"/>
      <c r="D75" s="35" t="s">
        <v>779</v>
      </c>
      <c r="E75" s="151"/>
      <c r="F75" s="151"/>
      <c r="G75" s="151"/>
      <c r="H75" s="151"/>
      <c r="I75" s="151"/>
      <c r="J75" s="151"/>
    </row>
    <row r="76" spans="1:10">
      <c r="A76" s="40"/>
      <c r="B76" s="40"/>
      <c r="C76" s="40"/>
      <c r="D76" s="33" t="s">
        <v>780</v>
      </c>
      <c r="E76" s="151">
        <f>E31</f>
        <v>0</v>
      </c>
      <c r="F76" s="151">
        <f t="shared" ref="F76:J76" si="29">F31</f>
        <v>2835000</v>
      </c>
      <c r="G76" s="151">
        <f t="shared" si="29"/>
        <v>4233648.7403973723</v>
      </c>
      <c r="H76" s="151">
        <f t="shared" si="29"/>
        <v>5425074.8548344839</v>
      </c>
      <c r="I76" s="151">
        <f t="shared" si="29"/>
        <v>6469639.2057153033</v>
      </c>
      <c r="J76" s="151">
        <f t="shared" si="29"/>
        <v>7413183.5229342068</v>
      </c>
    </row>
    <row r="77" spans="1:10">
      <c r="A77" s="40"/>
      <c r="B77" s="40"/>
      <c r="C77" s="40"/>
      <c r="D77" s="35" t="s">
        <v>781</v>
      </c>
      <c r="E77" s="151"/>
      <c r="F77" s="151"/>
      <c r="G77" s="151"/>
      <c r="H77" s="151"/>
      <c r="I77" s="151"/>
      <c r="J77" s="151"/>
    </row>
    <row r="78" spans="1:10">
      <c r="A78" s="40"/>
      <c r="B78" s="40"/>
      <c r="C78" s="40"/>
      <c r="D78" s="33" t="s">
        <v>782</v>
      </c>
      <c r="E78" s="151">
        <f>E29</f>
        <v>0</v>
      </c>
      <c r="F78" s="151">
        <f t="shared" ref="F78:J78" si="30">F29</f>
        <v>3750000</v>
      </c>
      <c r="G78" s="151">
        <f t="shared" si="30"/>
        <v>2812500</v>
      </c>
      <c r="H78" s="151">
        <f t="shared" si="30"/>
        <v>2109375</v>
      </c>
      <c r="I78" s="151">
        <f t="shared" si="30"/>
        <v>1582031.25</v>
      </c>
      <c r="J78" s="151">
        <f t="shared" si="30"/>
        <v>1186523.4375</v>
      </c>
    </row>
    <row r="79" spans="1:10">
      <c r="A79" s="40"/>
      <c r="B79" s="40"/>
      <c r="C79" s="40"/>
      <c r="D79" s="33" t="s">
        <v>25</v>
      </c>
      <c r="E79" s="151">
        <f>E30</f>
        <v>0</v>
      </c>
      <c r="F79" s="151">
        <f t="shared" ref="F79:J79" si="31">F30</f>
        <v>500000</v>
      </c>
      <c r="G79" s="151">
        <f t="shared" si="31"/>
        <v>418101.25960262731</v>
      </c>
      <c r="H79" s="151">
        <f t="shared" si="31"/>
        <v>328012.64516551734</v>
      </c>
      <c r="I79" s="151">
        <f t="shared" si="31"/>
        <v>228915.16928469637</v>
      </c>
      <c r="J79" s="151">
        <f t="shared" si="31"/>
        <v>119907.94581579331</v>
      </c>
    </row>
    <row r="80" spans="1:10">
      <c r="A80" s="40"/>
      <c r="B80" s="40"/>
      <c r="C80" s="40"/>
      <c r="E80" s="151"/>
      <c r="F80" s="151"/>
      <c r="G80" s="151"/>
      <c r="H80" s="151"/>
      <c r="I80" s="151"/>
      <c r="J80" s="151"/>
    </row>
    <row r="81" spans="1:10">
      <c r="A81" s="40"/>
      <c r="B81" s="40"/>
      <c r="C81" s="40"/>
      <c r="D81" s="35" t="s">
        <v>783</v>
      </c>
      <c r="E81" s="154">
        <f>SUM(E76:E80)</f>
        <v>0</v>
      </c>
      <c r="F81" s="154">
        <f t="shared" ref="F81:J81" si="32">SUM(F76:F80)</f>
        <v>7085000</v>
      </c>
      <c r="G81" s="154">
        <f t="shared" si="32"/>
        <v>7464250</v>
      </c>
      <c r="H81" s="154">
        <f t="shared" si="32"/>
        <v>7862462.5000000009</v>
      </c>
      <c r="I81" s="154">
        <f t="shared" si="32"/>
        <v>8280585.625</v>
      </c>
      <c r="J81" s="154">
        <f t="shared" si="32"/>
        <v>8719614.90625</v>
      </c>
    </row>
    <row r="82" spans="1:10">
      <c r="A82" s="40"/>
      <c r="B82" s="40"/>
      <c r="C82" s="40"/>
      <c r="D82" s="33" t="s">
        <v>798</v>
      </c>
      <c r="E82" s="151"/>
      <c r="F82" s="151">
        <f>E45-F45</f>
        <v>-1520547.9452054794</v>
      </c>
      <c r="G82" s="151">
        <f t="shared" ref="G82:J82" si="33">F45-G45</f>
        <v>-76027.39726027404</v>
      </c>
      <c r="H82" s="151">
        <f t="shared" si="33"/>
        <v>-79828.767123287776</v>
      </c>
      <c r="I82" s="151">
        <f t="shared" si="33"/>
        <v>-83820.205479452154</v>
      </c>
      <c r="J82" s="151">
        <f t="shared" si="33"/>
        <v>-88011.21575342468</v>
      </c>
    </row>
    <row r="83" spans="1:10">
      <c r="A83" s="40"/>
      <c r="B83" s="40"/>
      <c r="C83" s="40"/>
      <c r="D83" s="33" t="s">
        <v>797</v>
      </c>
      <c r="E83" s="151"/>
      <c r="F83" s="151">
        <f>E46-F46</f>
        <v>-298027.39726027398</v>
      </c>
      <c r="G83" s="151">
        <f t="shared" ref="G83:J83" si="34">F46-G46</f>
        <v>-14901.369863013679</v>
      </c>
      <c r="H83" s="151">
        <f t="shared" si="34"/>
        <v>-15646.438356164494</v>
      </c>
      <c r="I83" s="151">
        <f t="shared" si="34"/>
        <v>-16428.760273972584</v>
      </c>
      <c r="J83" s="151">
        <f t="shared" si="34"/>
        <v>-17250.198287671257</v>
      </c>
    </row>
    <row r="84" spans="1:10">
      <c r="A84" s="40"/>
      <c r="B84" s="40"/>
      <c r="C84" s="40"/>
      <c r="D84" s="33" t="s">
        <v>796</v>
      </c>
      <c r="E84" s="151"/>
      <c r="F84" s="151">
        <f>F63-E63</f>
        <v>638630.13698630128</v>
      </c>
      <c r="G84" s="151">
        <f t="shared" ref="G84:J84" si="35">G63-F63</f>
        <v>31931.506849315134</v>
      </c>
      <c r="H84" s="151">
        <f t="shared" si="35"/>
        <v>33528.082191780908</v>
      </c>
      <c r="I84" s="151">
        <f t="shared" si="35"/>
        <v>35204.486301369965</v>
      </c>
      <c r="J84" s="151">
        <f t="shared" si="35"/>
        <v>36964.7106164383</v>
      </c>
    </row>
    <row r="85" spans="1:10">
      <c r="A85" s="40"/>
      <c r="B85" s="40"/>
      <c r="C85" s="40"/>
      <c r="D85" s="35" t="s">
        <v>784</v>
      </c>
      <c r="E85" s="154"/>
      <c r="F85" s="154">
        <f>SUM(F81:F84)</f>
        <v>5905054.7945205476</v>
      </c>
      <c r="G85" s="154">
        <f t="shared" ref="G85:J85" si="36">SUM(G81:G84)</f>
        <v>7405252.7397260275</v>
      </c>
      <c r="H85" s="154">
        <f t="shared" si="36"/>
        <v>7800515.3767123297</v>
      </c>
      <c r="I85" s="154">
        <f t="shared" si="36"/>
        <v>8215541.1455479451</v>
      </c>
      <c r="J85" s="154">
        <f t="shared" si="36"/>
        <v>8651318.2028253414</v>
      </c>
    </row>
    <row r="86" spans="1:10">
      <c r="A86" s="40"/>
      <c r="B86" s="40"/>
      <c r="C86" s="40"/>
      <c r="D86" s="33" t="s">
        <v>785</v>
      </c>
      <c r="E86" s="151"/>
      <c r="F86" s="151">
        <f>0-(0+F32)</f>
        <v>-850500</v>
      </c>
      <c r="G86" s="151">
        <f t="shared" ref="G86:J86" si="37">0-(0+G32)</f>
        <v>-1270094.6221192116</v>
      </c>
      <c r="H86" s="151">
        <f t="shared" si="37"/>
        <v>-1627522.4564503452</v>
      </c>
      <c r="I86" s="151">
        <f t="shared" si="37"/>
        <v>-1940891.7617145909</v>
      </c>
      <c r="J86" s="151">
        <f t="shared" si="37"/>
        <v>-2223955.0568802617</v>
      </c>
    </row>
    <row r="87" spans="1:10">
      <c r="A87" s="40"/>
      <c r="B87" s="40"/>
      <c r="C87" s="40"/>
      <c r="D87" s="33" t="s">
        <v>786</v>
      </c>
      <c r="E87" s="151"/>
      <c r="F87" s="151">
        <f>0-(0+F30)</f>
        <v>-500000</v>
      </c>
      <c r="G87" s="151">
        <f t="shared" ref="G87:J87" si="38">0-(0+G30)</f>
        <v>-418101.25960262731</v>
      </c>
      <c r="H87" s="151">
        <f t="shared" si="38"/>
        <v>-328012.64516551734</v>
      </c>
      <c r="I87" s="151">
        <f t="shared" si="38"/>
        <v>-228915.16928469637</v>
      </c>
      <c r="J87" s="151">
        <f t="shared" si="38"/>
        <v>-119907.94581579331</v>
      </c>
    </row>
    <row r="88" spans="1:10">
      <c r="A88" s="40"/>
      <c r="B88" s="40"/>
      <c r="C88" s="40"/>
      <c r="D88" s="225" t="s">
        <v>787</v>
      </c>
      <c r="E88" s="226"/>
      <c r="F88" s="226">
        <f>SUM(F85:F87)</f>
        <v>4554554.7945205476</v>
      </c>
      <c r="G88" s="226">
        <f t="shared" ref="G88:J88" si="39">SUM(G85:G87)</f>
        <v>5717056.8580041882</v>
      </c>
      <c r="H88" s="226">
        <f t="shared" si="39"/>
        <v>5844980.2750964677</v>
      </c>
      <c r="I88" s="226">
        <f t="shared" si="39"/>
        <v>6045734.2145486576</v>
      </c>
      <c r="J88" s="226">
        <f t="shared" si="39"/>
        <v>6307455.2001292864</v>
      </c>
    </row>
    <row r="89" spans="1:10">
      <c r="A89" s="40"/>
      <c r="B89" s="40"/>
      <c r="C89" s="40"/>
      <c r="E89" s="151"/>
      <c r="F89" s="151"/>
      <c r="G89" s="151"/>
      <c r="H89" s="151"/>
      <c r="I89" s="151"/>
      <c r="J89" s="151"/>
    </row>
    <row r="90" spans="1:10">
      <c r="A90" s="40"/>
      <c r="B90" s="40"/>
      <c r="C90" s="40"/>
      <c r="D90" s="35" t="s">
        <v>788</v>
      </c>
      <c r="E90" s="151"/>
      <c r="F90" s="151"/>
      <c r="G90" s="151"/>
      <c r="H90" s="151"/>
      <c r="I90" s="151"/>
      <c r="J90" s="151"/>
    </row>
    <row r="91" spans="1:10">
      <c r="A91" s="40"/>
      <c r="B91" s="40"/>
      <c r="C91" s="40"/>
      <c r="D91" s="33" t="s">
        <v>799</v>
      </c>
      <c r="E91" s="151"/>
      <c r="F91" s="151"/>
      <c r="G91" s="151"/>
      <c r="H91" s="151"/>
      <c r="I91" s="151"/>
      <c r="J91" s="151"/>
    </row>
    <row r="92" spans="1:10">
      <c r="A92" s="40"/>
      <c r="B92" s="40"/>
      <c r="C92" s="40"/>
      <c r="E92" s="151"/>
      <c r="F92" s="151"/>
      <c r="G92" s="151"/>
      <c r="H92" s="151"/>
      <c r="I92" s="151"/>
      <c r="J92" s="151"/>
    </row>
    <row r="93" spans="1:10">
      <c r="A93" s="40"/>
      <c r="B93" s="40"/>
      <c r="C93" s="40"/>
      <c r="D93" s="225" t="s">
        <v>789</v>
      </c>
      <c r="E93" s="151"/>
      <c r="F93" s="151">
        <f>SUM(F91:F92)</f>
        <v>0</v>
      </c>
      <c r="G93" s="151">
        <f t="shared" ref="G93:J93" si="40">SUM(G91:G92)</f>
        <v>0</v>
      </c>
      <c r="H93" s="151">
        <f t="shared" si="40"/>
        <v>0</v>
      </c>
      <c r="I93" s="151">
        <f t="shared" si="40"/>
        <v>0</v>
      </c>
      <c r="J93" s="151">
        <f t="shared" si="40"/>
        <v>0</v>
      </c>
    </row>
    <row r="94" spans="1:10">
      <c r="A94" s="40"/>
      <c r="B94" s="40"/>
      <c r="C94" s="40"/>
      <c r="E94" s="151"/>
      <c r="F94" s="151"/>
      <c r="G94" s="151"/>
      <c r="H94" s="151"/>
      <c r="I94" s="151"/>
      <c r="J94" s="151"/>
    </row>
    <row r="95" spans="1:10">
      <c r="A95" s="40"/>
      <c r="B95" s="40"/>
      <c r="C95" s="40"/>
      <c r="D95" s="35" t="s">
        <v>790</v>
      </c>
      <c r="E95" s="151"/>
      <c r="F95" s="151"/>
      <c r="G95" s="151"/>
      <c r="H95" s="151"/>
      <c r="I95" s="151"/>
      <c r="J95" s="151"/>
    </row>
    <row r="96" spans="1:10">
      <c r="A96" s="40"/>
      <c r="B96" s="40"/>
      <c r="C96" s="40"/>
      <c r="D96" s="33" t="s">
        <v>800</v>
      </c>
      <c r="E96" s="151"/>
      <c r="F96" s="151">
        <f>F60-E60</f>
        <v>-818987.40397372702</v>
      </c>
      <c r="G96" s="151">
        <f t="shared" ref="G96:J96" si="41">G60-F60</f>
        <v>-900886.14437109977</v>
      </c>
      <c r="H96" s="151">
        <f t="shared" si="41"/>
        <v>-990974.75880820956</v>
      </c>
      <c r="I96" s="151">
        <f t="shared" si="41"/>
        <v>-1090072.2346890306</v>
      </c>
      <c r="J96" s="151">
        <f t="shared" si="41"/>
        <v>-1199079.4581579331</v>
      </c>
    </row>
    <row r="97" spans="1:10">
      <c r="A97" s="40"/>
      <c r="B97" s="40"/>
      <c r="C97" s="40"/>
      <c r="D97" s="33" t="s">
        <v>791</v>
      </c>
      <c r="E97" s="151"/>
      <c r="F97" s="151"/>
      <c r="G97" s="151"/>
      <c r="H97" s="151"/>
      <c r="I97" s="151"/>
      <c r="J97" s="151"/>
    </row>
    <row r="98" spans="1:10">
      <c r="A98" s="40"/>
      <c r="B98" s="40"/>
      <c r="C98" s="40"/>
      <c r="E98" s="151"/>
      <c r="F98" s="151"/>
      <c r="G98" s="151"/>
      <c r="H98" s="151"/>
      <c r="I98" s="151"/>
      <c r="J98" s="151"/>
    </row>
    <row r="99" spans="1:10">
      <c r="A99" s="40"/>
      <c r="B99" s="40"/>
      <c r="C99" s="40"/>
      <c r="D99" s="225" t="s">
        <v>792</v>
      </c>
      <c r="E99" s="226"/>
      <c r="F99" s="226">
        <f>SUM(F96:F98)</f>
        <v>-818987.40397372702</v>
      </c>
      <c r="G99" s="226">
        <f t="shared" ref="G99:J99" si="42">SUM(G96:G98)</f>
        <v>-900886.14437109977</v>
      </c>
      <c r="H99" s="226">
        <f t="shared" si="42"/>
        <v>-990974.75880820956</v>
      </c>
      <c r="I99" s="226">
        <f t="shared" si="42"/>
        <v>-1090072.2346890306</v>
      </c>
      <c r="J99" s="226">
        <f t="shared" si="42"/>
        <v>-1199079.4581579331</v>
      </c>
    </row>
    <row r="100" spans="1:10">
      <c r="A100" s="40"/>
      <c r="B100" s="40"/>
      <c r="C100" s="40"/>
      <c r="E100" s="151"/>
      <c r="F100" s="151"/>
      <c r="G100" s="151"/>
      <c r="H100" s="151"/>
      <c r="I100" s="151"/>
      <c r="J100" s="151"/>
    </row>
    <row r="101" spans="1:10">
      <c r="A101" s="40"/>
      <c r="B101" s="40"/>
      <c r="C101" s="40"/>
      <c r="D101" s="35" t="s">
        <v>793</v>
      </c>
      <c r="E101" s="154"/>
      <c r="F101" s="154">
        <f>F88+F93+F99</f>
        <v>3735567.3905468206</v>
      </c>
      <c r="G101" s="154">
        <f t="shared" ref="G101:J101" si="43">G88+G93+G99</f>
        <v>4816170.7136330884</v>
      </c>
      <c r="H101" s="154">
        <f t="shared" si="43"/>
        <v>4854005.5162882581</v>
      </c>
      <c r="I101" s="154">
        <f t="shared" si="43"/>
        <v>4955661.9798596269</v>
      </c>
      <c r="J101" s="154">
        <f t="shared" si="43"/>
        <v>5108375.7419713531</v>
      </c>
    </row>
    <row r="102" spans="1:10">
      <c r="A102" s="40"/>
      <c r="B102" s="40"/>
      <c r="C102" s="40"/>
      <c r="D102" s="33" t="s">
        <v>794</v>
      </c>
      <c r="E102" s="151"/>
      <c r="F102" s="151">
        <v>0</v>
      </c>
      <c r="G102" s="151">
        <f>F103</f>
        <v>3735567.3905468206</v>
      </c>
      <c r="H102" s="151">
        <f>G103</f>
        <v>8551738.1041799095</v>
      </c>
      <c r="I102" s="151">
        <f>H103</f>
        <v>13405743.620468168</v>
      </c>
      <c r="J102" s="151">
        <f>I103</f>
        <v>18361405.600327794</v>
      </c>
    </row>
    <row r="103" spans="1:10">
      <c r="A103" s="40"/>
      <c r="B103" s="40"/>
      <c r="C103" s="40"/>
      <c r="D103" s="225" t="s">
        <v>795</v>
      </c>
      <c r="E103" s="226"/>
      <c r="F103" s="226">
        <f>SUM(F101:F102)</f>
        <v>3735567.3905468206</v>
      </c>
      <c r="G103" s="226">
        <f>SUM(G101:G102)</f>
        <v>8551738.1041799095</v>
      </c>
      <c r="H103" s="226">
        <f>SUM(H101:H102)</f>
        <v>13405743.620468168</v>
      </c>
      <c r="I103" s="226">
        <f>SUM(I101:I102)</f>
        <v>18361405.600327794</v>
      </c>
      <c r="J103" s="226">
        <f>SUM(J101:J102)</f>
        <v>23469781.342299148</v>
      </c>
    </row>
    <row r="104" spans="1:10">
      <c r="A104" s="40"/>
      <c r="B104" s="40"/>
      <c r="C104" s="40"/>
      <c r="E104" s="151"/>
      <c r="F104" s="151"/>
      <c r="G104" s="151"/>
      <c r="H104" s="151"/>
      <c r="I104" s="151"/>
      <c r="J104" s="151"/>
    </row>
    <row r="105" spans="1:10">
      <c r="A105" s="40"/>
      <c r="B105" s="40"/>
      <c r="C105" s="40"/>
      <c r="E105" s="151"/>
      <c r="F105" s="151"/>
      <c r="G105" s="151"/>
      <c r="H105" s="151"/>
      <c r="I105" s="151"/>
      <c r="J105" s="151"/>
    </row>
    <row r="106" spans="1:10">
      <c r="A106" s="40"/>
      <c r="B106" s="40"/>
      <c r="C106" s="40"/>
      <c r="E106" s="151"/>
      <c r="F106" s="151"/>
      <c r="G106" s="151"/>
      <c r="H106" s="151"/>
      <c r="I106" s="151"/>
      <c r="J106" s="151"/>
    </row>
    <row r="107" spans="1:10">
      <c r="A107" s="40"/>
      <c r="B107" s="40"/>
      <c r="C107" s="40"/>
      <c r="E107" s="151"/>
      <c r="F107" s="151"/>
      <c r="G107" s="151"/>
      <c r="H107" s="151"/>
      <c r="I107" s="151"/>
      <c r="J107" s="151"/>
    </row>
    <row r="108" spans="1:10">
      <c r="A108" s="40"/>
      <c r="B108" s="40"/>
      <c r="C108" s="40"/>
    </row>
    <row r="109" spans="1:10">
      <c r="A109" s="40"/>
      <c r="B109" s="40"/>
      <c r="C109" s="40"/>
    </row>
    <row r="110" spans="1:10">
      <c r="A110" s="40"/>
      <c r="B110" s="40"/>
      <c r="C110" s="40"/>
      <c r="E110" s="42">
        <v>0</v>
      </c>
      <c r="F110" s="42">
        <v>1</v>
      </c>
      <c r="G110" s="42">
        <v>2</v>
      </c>
      <c r="H110" s="42">
        <v>3</v>
      </c>
      <c r="I110" s="42">
        <v>4</v>
      </c>
      <c r="J110" s="42">
        <v>5</v>
      </c>
    </row>
    <row r="111" spans="1:10">
      <c r="A111" s="40"/>
      <c r="B111" s="40"/>
      <c r="D111" s="33" t="s">
        <v>628</v>
      </c>
      <c r="E111" s="214">
        <v>2023</v>
      </c>
      <c r="F111" s="214">
        <v>2024</v>
      </c>
      <c r="G111" s="214">
        <v>2025</v>
      </c>
      <c r="H111" s="214">
        <v>2026</v>
      </c>
      <c r="I111" s="214">
        <v>2027</v>
      </c>
      <c r="J111" s="214">
        <v>2028</v>
      </c>
    </row>
    <row r="112" spans="1:10">
      <c r="A112" s="40"/>
      <c r="B112" s="40"/>
      <c r="C112" s="40"/>
      <c r="D112" s="33" t="s">
        <v>719</v>
      </c>
      <c r="E112" s="43">
        <v>0</v>
      </c>
      <c r="F112" s="43">
        <f>E116</f>
        <v>15000000</v>
      </c>
      <c r="G112" s="43">
        <f t="shared" ref="G112:I112" si="44">F116</f>
        <v>11250000</v>
      </c>
      <c r="H112" s="43">
        <f t="shared" si="44"/>
        <v>8437500</v>
      </c>
      <c r="I112" s="43">
        <f t="shared" si="44"/>
        <v>6328125</v>
      </c>
      <c r="J112" s="43">
        <f>I116</f>
        <v>4746093.75</v>
      </c>
    </row>
    <row r="113" spans="1:10">
      <c r="A113" s="40"/>
      <c r="B113" s="40"/>
      <c r="C113" s="40"/>
      <c r="D113" s="33" t="s">
        <v>720</v>
      </c>
      <c r="E113" s="43">
        <v>15000000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</row>
    <row r="114" spans="1:10">
      <c r="A114" s="40"/>
      <c r="B114" s="40"/>
      <c r="C114" s="39"/>
      <c r="D114" s="33" t="s">
        <v>721</v>
      </c>
      <c r="E114" s="43">
        <f>E112+E113</f>
        <v>15000000</v>
      </c>
      <c r="F114" s="43">
        <f t="shared" ref="F114:J114" si="45">F112+F113</f>
        <v>15000000</v>
      </c>
      <c r="G114" s="43">
        <f t="shared" si="45"/>
        <v>11250000</v>
      </c>
      <c r="H114" s="43">
        <f t="shared" si="45"/>
        <v>8437500</v>
      </c>
      <c r="I114" s="43">
        <f t="shared" si="45"/>
        <v>6328125</v>
      </c>
      <c r="J114" s="43">
        <f t="shared" si="45"/>
        <v>4746093.75</v>
      </c>
    </row>
    <row r="115" spans="1:10">
      <c r="A115" s="40"/>
      <c r="B115" s="40"/>
      <c r="C115" s="40"/>
      <c r="D115" s="33" t="s">
        <v>696</v>
      </c>
      <c r="E115" s="43">
        <v>0</v>
      </c>
      <c r="F115" s="43">
        <f>25%*F114</f>
        <v>3750000</v>
      </c>
      <c r="G115" s="43">
        <f t="shared" ref="G115:J115" si="46">25%*G114</f>
        <v>2812500</v>
      </c>
      <c r="H115" s="43">
        <f t="shared" si="46"/>
        <v>2109375</v>
      </c>
      <c r="I115" s="43">
        <f t="shared" si="46"/>
        <v>1582031.25</v>
      </c>
      <c r="J115" s="43">
        <f t="shared" si="46"/>
        <v>1186523.4375</v>
      </c>
    </row>
    <row r="116" spans="1:10">
      <c r="A116" s="40"/>
      <c r="B116" s="40"/>
      <c r="C116" s="39"/>
      <c r="D116" s="33" t="s">
        <v>722</v>
      </c>
      <c r="E116" s="43">
        <f>E114-E115</f>
        <v>15000000</v>
      </c>
      <c r="F116" s="43">
        <f>F114-F115</f>
        <v>11250000</v>
      </c>
      <c r="G116" s="43">
        <f t="shared" ref="G116:J116" si="47">G114-G115</f>
        <v>8437500</v>
      </c>
      <c r="H116" s="43">
        <f t="shared" si="47"/>
        <v>6328125</v>
      </c>
      <c r="I116" s="43">
        <f t="shared" si="47"/>
        <v>4746093.75</v>
      </c>
      <c r="J116" s="43">
        <f t="shared" si="47"/>
        <v>3559570.3125</v>
      </c>
    </row>
    <row r="117" spans="1:10">
      <c r="A117" s="40"/>
      <c r="B117" s="40"/>
      <c r="C117" s="40"/>
    </row>
    <row r="118" spans="1:10">
      <c r="A118" s="40"/>
      <c r="B118" s="40"/>
      <c r="C118" s="40"/>
    </row>
    <row r="119" spans="1:10">
      <c r="A119" s="40"/>
      <c r="B119" s="40"/>
      <c r="C119" s="40"/>
      <c r="D119" s="35" t="s">
        <v>723</v>
      </c>
    </row>
    <row r="121" spans="1:10">
      <c r="D121" s="33" t="s">
        <v>713</v>
      </c>
      <c r="E121" s="151">
        <f>E17</f>
        <v>5000000</v>
      </c>
    </row>
    <row r="122" spans="1:10">
      <c r="D122" s="33" t="s">
        <v>724</v>
      </c>
      <c r="E122" s="172">
        <f>10%</f>
        <v>0.1</v>
      </c>
    </row>
    <row r="123" spans="1:10">
      <c r="D123" s="33" t="s">
        <v>725</v>
      </c>
      <c r="E123" s="33">
        <v>5</v>
      </c>
    </row>
    <row r="126" spans="1:10">
      <c r="D126" s="33" t="s">
        <v>726</v>
      </c>
      <c r="E126" s="215">
        <f>-PMT(E122,E123,E121,0,0)</f>
        <v>1318987.403973727</v>
      </c>
    </row>
    <row r="127" spans="1:10">
      <c r="E127" s="33">
        <v>0</v>
      </c>
      <c r="F127" s="33">
        <v>1</v>
      </c>
      <c r="G127" s="33">
        <v>2</v>
      </c>
      <c r="H127" s="33">
        <v>3</v>
      </c>
      <c r="I127" s="33">
        <v>4</v>
      </c>
      <c r="J127" s="33">
        <v>5</v>
      </c>
    </row>
    <row r="128" spans="1:10">
      <c r="E128" s="33">
        <v>2023</v>
      </c>
      <c r="F128" s="33">
        <v>2024</v>
      </c>
      <c r="G128" s="33">
        <v>2025</v>
      </c>
      <c r="H128" s="33">
        <v>2026</v>
      </c>
      <c r="I128" s="33">
        <v>2027</v>
      </c>
      <c r="J128" s="33">
        <v>2028</v>
      </c>
    </row>
    <row r="129" spans="4:10">
      <c r="D129" s="33" t="s">
        <v>727</v>
      </c>
      <c r="E129" s="43"/>
      <c r="F129" s="43">
        <f>E133</f>
        <v>5000000</v>
      </c>
      <c r="G129" s="43">
        <f>F133</f>
        <v>4181012.596026273</v>
      </c>
      <c r="H129" s="43">
        <f>G133</f>
        <v>3280126.4516551732</v>
      </c>
      <c r="I129" s="43">
        <f>H133</f>
        <v>2289151.6928469636</v>
      </c>
      <c r="J129" s="43">
        <f>I133</f>
        <v>1199079.4581579331</v>
      </c>
    </row>
    <row r="130" spans="4:10">
      <c r="D130" s="33" t="s">
        <v>729</v>
      </c>
      <c r="E130" s="43"/>
      <c r="F130" s="43">
        <f>-PMT($E$122,$E$123,$E$121,0,0)</f>
        <v>1318987.403973727</v>
      </c>
      <c r="G130" s="43">
        <f t="shared" ref="G130:J130" si="48">-PMT($E$122,$E$123,$E$121,0,0)</f>
        <v>1318987.403973727</v>
      </c>
      <c r="H130" s="43">
        <f t="shared" si="48"/>
        <v>1318987.403973727</v>
      </c>
      <c r="I130" s="43">
        <f t="shared" si="48"/>
        <v>1318987.403973727</v>
      </c>
      <c r="J130" s="43">
        <f t="shared" si="48"/>
        <v>1318987.403973727</v>
      </c>
    </row>
    <row r="131" spans="4:10">
      <c r="D131" s="33" t="s">
        <v>730</v>
      </c>
      <c r="E131" s="43"/>
      <c r="F131" s="43">
        <f>10%*F129</f>
        <v>500000</v>
      </c>
      <c r="G131" s="43">
        <f t="shared" ref="G131:J131" si="49">10%*G129</f>
        <v>418101.25960262731</v>
      </c>
      <c r="H131" s="43">
        <f t="shared" si="49"/>
        <v>328012.64516551734</v>
      </c>
      <c r="I131" s="43">
        <f t="shared" si="49"/>
        <v>228915.16928469637</v>
      </c>
      <c r="J131" s="43">
        <f t="shared" si="49"/>
        <v>119907.94581579331</v>
      </c>
    </row>
    <row r="132" spans="4:10">
      <c r="D132" s="216" t="s">
        <v>731</v>
      </c>
      <c r="E132" s="217"/>
      <c r="F132" s="217">
        <f>F130-F131</f>
        <v>818987.40397372702</v>
      </c>
      <c r="G132" s="217">
        <f t="shared" ref="G132:J132" si="50">G130-G131</f>
        <v>900886.14437109977</v>
      </c>
      <c r="H132" s="217">
        <f t="shared" si="50"/>
        <v>990974.75880820968</v>
      </c>
      <c r="I132" s="217">
        <f t="shared" si="50"/>
        <v>1090072.2346890306</v>
      </c>
      <c r="J132" s="217">
        <f t="shared" si="50"/>
        <v>1199079.4581579338</v>
      </c>
    </row>
    <row r="133" spans="4:10">
      <c r="D133" s="33" t="s">
        <v>728</v>
      </c>
      <c r="E133" s="43">
        <f>E121</f>
        <v>5000000</v>
      </c>
      <c r="F133" s="43">
        <f>F129-F132</f>
        <v>4181012.596026273</v>
      </c>
      <c r="G133" s="43">
        <f>G129-G132</f>
        <v>3280126.4516551732</v>
      </c>
      <c r="H133" s="43">
        <f>H129-H132</f>
        <v>2289151.6928469636</v>
      </c>
      <c r="I133" s="43">
        <f>I129-I132</f>
        <v>1199079.4581579331</v>
      </c>
      <c r="J133" s="43">
        <f>J129-J132</f>
        <v>0</v>
      </c>
    </row>
    <row r="135" spans="4:10">
      <c r="F135" s="151"/>
      <c r="G135" s="151"/>
      <c r="H135" s="151"/>
      <c r="I135" s="151"/>
      <c r="J135" s="151"/>
    </row>
    <row r="137" spans="4:10">
      <c r="E137" s="33" t="s">
        <v>740</v>
      </c>
    </row>
    <row r="139" spans="4:10">
      <c r="E139" s="33" t="s">
        <v>741</v>
      </c>
    </row>
    <row r="140" spans="4:10">
      <c r="E140" s="33" t="s">
        <v>742</v>
      </c>
    </row>
    <row r="141" spans="4:10">
      <c r="E141" s="35" t="s">
        <v>743</v>
      </c>
    </row>
    <row r="144" spans="4:10">
      <c r="E144" s="35" t="s">
        <v>744</v>
      </c>
    </row>
    <row r="146" spans="5:5">
      <c r="E146" s="35" t="s">
        <v>745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FD57-4231-4173-A333-EACB75AED887}">
  <dimension ref="A1:J143"/>
  <sheetViews>
    <sheetView tabSelected="1" view="pageBreakPreview" topLeftCell="A105" zoomScale="60" zoomScaleNormal="100" workbookViewId="0">
      <selection activeCell="B110" sqref="B110"/>
    </sheetView>
  </sheetViews>
  <sheetFormatPr defaultColWidth="9.1796875" defaultRowHeight="14"/>
  <cols>
    <col min="1" max="1" width="97.1796875" style="22" customWidth="1"/>
    <col min="2" max="2" width="21.26953125" style="22" customWidth="1"/>
    <col min="3" max="3" width="18.7265625" style="22" customWidth="1"/>
    <col min="4" max="4" width="19.7265625" style="22" customWidth="1"/>
    <col min="5" max="5" width="21" style="22" customWidth="1"/>
    <col min="6" max="6" width="18.7265625" style="22" customWidth="1"/>
    <col min="7" max="16384" width="9.1796875" style="22"/>
  </cols>
  <sheetData>
    <row r="1" spans="1:10" ht="22.5">
      <c r="A1" s="51"/>
      <c r="B1" s="52"/>
      <c r="C1" s="52" t="s">
        <v>258</v>
      </c>
      <c r="E1" s="51"/>
      <c r="F1" s="51"/>
      <c r="G1" s="51"/>
      <c r="H1" s="51"/>
      <c r="I1" s="51"/>
      <c r="J1" s="51"/>
    </row>
    <row r="2" spans="1:10" ht="20.149999999999999" customHeight="1">
      <c r="A2" s="51"/>
      <c r="B2" s="52"/>
      <c r="C2" s="51"/>
      <c r="D2" s="51"/>
      <c r="E2" s="51"/>
      <c r="F2" s="51"/>
      <c r="G2" s="51"/>
      <c r="H2" s="51"/>
      <c r="I2" s="51"/>
      <c r="J2" s="51"/>
    </row>
    <row r="3" spans="1:10" ht="22.5">
      <c r="A3" s="240" t="s">
        <v>259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ht="22.5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0" customHeight="1">
      <c r="A5" s="53"/>
      <c r="B5" s="53"/>
      <c r="C5" s="53"/>
      <c r="D5" s="53"/>
      <c r="E5" s="53"/>
      <c r="F5" s="53"/>
      <c r="G5" s="53"/>
      <c r="H5" s="53"/>
      <c r="I5" s="53"/>
      <c r="J5" s="53"/>
    </row>
    <row r="6" spans="1:10" ht="23">
      <c r="A6" s="54" t="s">
        <v>139</v>
      </c>
      <c r="B6" s="55"/>
      <c r="C6" s="55"/>
      <c r="D6" s="55"/>
      <c r="E6" s="55"/>
      <c r="F6" s="55"/>
      <c r="G6" s="55"/>
    </row>
    <row r="7" spans="1:10" ht="23">
      <c r="A7" s="55" t="s">
        <v>260</v>
      </c>
      <c r="B7" s="55"/>
      <c r="C7" s="55"/>
      <c r="D7" s="55"/>
      <c r="E7" s="55"/>
      <c r="F7" s="55"/>
      <c r="G7" s="55"/>
    </row>
    <row r="8" spans="1:10" ht="23">
      <c r="A8" s="55"/>
      <c r="B8" s="55"/>
      <c r="C8" s="55"/>
      <c r="D8" s="55"/>
      <c r="E8" s="55"/>
      <c r="F8" s="55"/>
      <c r="G8" s="55"/>
    </row>
    <row r="9" spans="1:10" ht="23">
      <c r="A9" s="54" t="s">
        <v>261</v>
      </c>
      <c r="B9" s="55"/>
      <c r="C9" s="55"/>
      <c r="D9" s="55"/>
      <c r="E9" s="55"/>
      <c r="F9" s="55"/>
      <c r="G9" s="55"/>
    </row>
    <row r="10" spans="1:10" ht="23">
      <c r="A10" s="55"/>
      <c r="B10" s="54">
        <v>2019</v>
      </c>
      <c r="C10" s="54">
        <v>2020</v>
      </c>
      <c r="D10" s="54">
        <v>2021</v>
      </c>
      <c r="E10" s="54">
        <v>2022</v>
      </c>
      <c r="F10" s="54">
        <v>2023</v>
      </c>
      <c r="G10" s="55"/>
    </row>
    <row r="11" spans="1:10" ht="23">
      <c r="A11" s="55"/>
      <c r="B11" s="56" t="s">
        <v>262</v>
      </c>
      <c r="C11" s="56" t="s">
        <v>262</v>
      </c>
      <c r="D11" s="56" t="s">
        <v>262</v>
      </c>
      <c r="E11" s="56" t="s">
        <v>262</v>
      </c>
      <c r="F11" s="56" t="s">
        <v>262</v>
      </c>
      <c r="G11" s="55"/>
    </row>
    <row r="12" spans="1:10" ht="23">
      <c r="A12" s="55" t="s">
        <v>263</v>
      </c>
      <c r="B12" s="57">
        <v>250283.1</v>
      </c>
      <c r="C12" s="57">
        <v>262555.7</v>
      </c>
      <c r="D12" s="57">
        <v>264026.5</v>
      </c>
      <c r="E12" s="57">
        <v>298077.90000000002</v>
      </c>
      <c r="F12" s="57">
        <v>310905</v>
      </c>
      <c r="G12" s="55"/>
    </row>
    <row r="13" spans="1:10" ht="23">
      <c r="A13" s="55" t="s">
        <v>264</v>
      </c>
      <c r="B13" s="57">
        <v>9.6</v>
      </c>
      <c r="C13" s="57">
        <v>0</v>
      </c>
      <c r="D13" s="57">
        <v>0</v>
      </c>
      <c r="E13" s="57">
        <v>0</v>
      </c>
      <c r="F13" s="57">
        <v>0</v>
      </c>
      <c r="G13" s="55"/>
    </row>
    <row r="14" spans="1:10" ht="23">
      <c r="A14" s="55" t="s">
        <v>265</v>
      </c>
      <c r="B14" s="57">
        <v>-72398.8</v>
      </c>
      <c r="C14" s="57">
        <v>-75284.899999999994</v>
      </c>
      <c r="D14" s="57">
        <v>-80852.800000000003</v>
      </c>
      <c r="E14" s="57">
        <v>-91467.8</v>
      </c>
      <c r="F14" s="57">
        <v>-92232</v>
      </c>
      <c r="G14" s="55"/>
    </row>
    <row r="15" spans="1:10" ht="26">
      <c r="A15" s="55" t="s">
        <v>266</v>
      </c>
      <c r="B15" s="58">
        <v>-53590.2</v>
      </c>
      <c r="C15" s="58">
        <f>-(47559.7+1669.6)</f>
        <v>-49229.299999999996</v>
      </c>
      <c r="D15" s="58">
        <f>-(3009.7+46034.8)</f>
        <v>-49044.5</v>
      </c>
      <c r="E15" s="58">
        <f>-(2361.2+55187)</f>
        <v>-57548.2</v>
      </c>
      <c r="F15" s="58">
        <f>-(4725+74085)</f>
        <v>-78810</v>
      </c>
      <c r="G15" s="55"/>
    </row>
    <row r="16" spans="1:10" ht="23">
      <c r="A16" s="55" t="s">
        <v>267</v>
      </c>
      <c r="B16" s="57">
        <f>SUM(B12:B15)</f>
        <v>124303.70000000003</v>
      </c>
      <c r="C16" s="57">
        <f>SUM(C12:C15)</f>
        <v>138041.50000000003</v>
      </c>
      <c r="D16" s="57">
        <f>SUM(D12:D15)</f>
        <v>134129.20000000001</v>
      </c>
      <c r="E16" s="57">
        <f>SUM(E12:E15)</f>
        <v>149061.90000000002</v>
      </c>
      <c r="F16" s="57">
        <f>SUM(F12:F15)</f>
        <v>139863</v>
      </c>
      <c r="G16" s="55"/>
    </row>
    <row r="17" spans="1:7" ht="26">
      <c r="A17" s="55" t="s">
        <v>268</v>
      </c>
      <c r="B17" s="58">
        <f>-(33660.4+301+1370.3)</f>
        <v>-35331.700000000004</v>
      </c>
      <c r="C17" s="58">
        <f>-(31964.8+301+1359.1+2922.8)</f>
        <v>-36547.700000000004</v>
      </c>
      <c r="D17" s="58">
        <f>-(32624.5+406.5+1628.5+3304.8)</f>
        <v>-37964.300000000003</v>
      </c>
      <c r="E17" s="58">
        <f>-(34145.2+281.3+1850+3656.8)</f>
        <v>-39933.300000000003</v>
      </c>
      <c r="F17" s="58">
        <f>-(39755+282+8418+6411)</f>
        <v>-54866</v>
      </c>
      <c r="G17" s="55"/>
    </row>
    <row r="18" spans="1:7" ht="23">
      <c r="A18" s="55"/>
      <c r="B18" s="57">
        <f t="shared" ref="B18:F18" si="0">B16+B17</f>
        <v>88972.000000000029</v>
      </c>
      <c r="C18" s="57">
        <f t="shared" si="0"/>
        <v>101493.80000000002</v>
      </c>
      <c r="D18" s="57">
        <f t="shared" si="0"/>
        <v>96164.900000000009</v>
      </c>
      <c r="E18" s="57">
        <f t="shared" si="0"/>
        <v>109128.60000000002</v>
      </c>
      <c r="F18" s="57">
        <f t="shared" si="0"/>
        <v>84997</v>
      </c>
      <c r="G18" s="55"/>
    </row>
    <row r="19" spans="1:7" ht="23">
      <c r="A19" s="55" t="s">
        <v>269</v>
      </c>
      <c r="B19" s="57">
        <v>5.2</v>
      </c>
      <c r="C19" s="57">
        <f>3296.1+60.9</f>
        <v>3357</v>
      </c>
      <c r="D19" s="57">
        <f>-(314.1+192.9)</f>
        <v>-507</v>
      </c>
      <c r="E19" s="57">
        <f>-(279.8+196.2)</f>
        <v>-476</v>
      </c>
      <c r="F19" s="57">
        <f>-(50.7-12.5)</f>
        <v>-38.200000000000003</v>
      </c>
      <c r="G19" s="55"/>
    </row>
    <row r="20" spans="1:7" ht="26">
      <c r="A20" s="55" t="s">
        <v>270</v>
      </c>
      <c r="B20" s="58">
        <v>2760.2</v>
      </c>
      <c r="C20" s="58">
        <v>3518.8</v>
      </c>
      <c r="D20" s="58">
        <v>2198.4</v>
      </c>
      <c r="E20" s="58">
        <v>2413.4</v>
      </c>
      <c r="F20" s="58">
        <f>4075.2+10383+90</f>
        <v>14548.2</v>
      </c>
      <c r="G20" s="55"/>
    </row>
    <row r="21" spans="1:7" ht="23">
      <c r="A21" s="55" t="s">
        <v>271</v>
      </c>
      <c r="B21" s="57">
        <f t="shared" ref="B21:F21" si="1">B18+B19+B20</f>
        <v>91737.400000000023</v>
      </c>
      <c r="C21" s="57">
        <f t="shared" si="1"/>
        <v>108369.60000000002</v>
      </c>
      <c r="D21" s="57">
        <f t="shared" si="1"/>
        <v>97856.3</v>
      </c>
      <c r="E21" s="57">
        <f t="shared" si="1"/>
        <v>111066.00000000001</v>
      </c>
      <c r="F21" s="57">
        <f t="shared" si="1"/>
        <v>99507</v>
      </c>
      <c r="G21" s="55"/>
    </row>
    <row r="22" spans="1:7" ht="26">
      <c r="A22" s="55" t="s">
        <v>93</v>
      </c>
      <c r="B22" s="58">
        <v>-519.6</v>
      </c>
      <c r="C22" s="58">
        <v>-2596.6</v>
      </c>
      <c r="D22" s="58">
        <v>-4220.8</v>
      </c>
      <c r="E22" s="58">
        <v>-8852.6</v>
      </c>
      <c r="F22" s="58">
        <v>-11162.3</v>
      </c>
      <c r="G22" s="55"/>
    </row>
    <row r="23" spans="1:7" ht="23">
      <c r="A23" s="55" t="s">
        <v>272</v>
      </c>
      <c r="B23" s="57">
        <f t="shared" ref="B23:F23" si="2">B21+B22</f>
        <v>91217.800000000017</v>
      </c>
      <c r="C23" s="57">
        <f t="shared" si="2"/>
        <v>105773.00000000001</v>
      </c>
      <c r="D23" s="57">
        <f t="shared" si="2"/>
        <v>93635.5</v>
      </c>
      <c r="E23" s="57">
        <f t="shared" si="2"/>
        <v>102213.40000000001</v>
      </c>
      <c r="F23" s="57">
        <f t="shared" si="2"/>
        <v>88344.7</v>
      </c>
      <c r="G23" s="55"/>
    </row>
    <row r="24" spans="1:7" ht="26">
      <c r="A24" s="55" t="s">
        <v>273</v>
      </c>
      <c r="B24" s="59">
        <v>-28727.3</v>
      </c>
      <c r="C24" s="59">
        <v>-32115.1</v>
      </c>
      <c r="D24" s="59">
        <v>-24959.3</v>
      </c>
      <c r="E24" s="59">
        <v>-34717.300000000003</v>
      </c>
      <c r="F24" s="59">
        <v>-35862.400000000001</v>
      </c>
      <c r="G24" s="55"/>
    </row>
    <row r="25" spans="1:7" ht="26">
      <c r="A25" s="55" t="s">
        <v>274</v>
      </c>
      <c r="B25" s="60">
        <f t="shared" ref="B25:F25" si="3">B23+B24</f>
        <v>62490.500000000015</v>
      </c>
      <c r="C25" s="60">
        <f t="shared" si="3"/>
        <v>73657.900000000023</v>
      </c>
      <c r="D25" s="60">
        <f t="shared" si="3"/>
        <v>68676.2</v>
      </c>
      <c r="E25" s="60">
        <f t="shared" si="3"/>
        <v>67496.100000000006</v>
      </c>
      <c r="F25" s="60">
        <f t="shared" si="3"/>
        <v>52482.299999999996</v>
      </c>
      <c r="G25" s="55"/>
    </row>
    <row r="26" spans="1:7" ht="23">
      <c r="A26" s="55"/>
      <c r="B26" s="55"/>
      <c r="C26" s="55"/>
      <c r="D26" s="55"/>
      <c r="E26" s="55"/>
      <c r="F26" s="55"/>
      <c r="G26" s="55"/>
    </row>
    <row r="27" spans="1:7" ht="23">
      <c r="A27" s="55"/>
      <c r="B27" s="55"/>
      <c r="C27" s="55"/>
      <c r="D27" s="55"/>
      <c r="E27" s="55"/>
      <c r="F27" s="55"/>
      <c r="G27" s="55"/>
    </row>
    <row r="28" spans="1:7" ht="23">
      <c r="A28" s="54" t="s">
        <v>275</v>
      </c>
      <c r="B28" s="55"/>
      <c r="C28" s="55"/>
      <c r="D28" s="55"/>
      <c r="E28" s="55"/>
      <c r="F28" s="55"/>
      <c r="G28" s="55"/>
    </row>
    <row r="29" spans="1:7" ht="23">
      <c r="A29" s="55"/>
      <c r="B29" s="54">
        <v>2019</v>
      </c>
      <c r="C29" s="54">
        <v>2020</v>
      </c>
      <c r="D29" s="54">
        <v>2021</v>
      </c>
      <c r="E29" s="54">
        <v>2022</v>
      </c>
      <c r="F29" s="54">
        <v>2023</v>
      </c>
      <c r="G29" s="55"/>
    </row>
    <row r="30" spans="1:7" ht="23">
      <c r="A30" s="54" t="s">
        <v>67</v>
      </c>
      <c r="B30" s="56" t="s">
        <v>262</v>
      </c>
      <c r="C30" s="56" t="s">
        <v>262</v>
      </c>
      <c r="D30" s="56" t="s">
        <v>262</v>
      </c>
      <c r="E30" s="56" t="s">
        <v>262</v>
      </c>
      <c r="F30" s="56" t="s">
        <v>262</v>
      </c>
      <c r="G30" s="55"/>
    </row>
    <row r="31" spans="1:7" ht="23">
      <c r="A31" s="54" t="s">
        <v>95</v>
      </c>
      <c r="B31" s="55"/>
      <c r="C31" s="55"/>
      <c r="D31" s="55"/>
      <c r="E31" s="55"/>
      <c r="F31" s="55"/>
      <c r="G31" s="55"/>
    </row>
    <row r="32" spans="1:7" ht="23">
      <c r="A32" s="55" t="s">
        <v>276</v>
      </c>
      <c r="B32" s="61">
        <v>125217.8</v>
      </c>
      <c r="C32" s="61">
        <v>129337.2</v>
      </c>
      <c r="D32" s="61">
        <v>133833.70000000001</v>
      </c>
      <c r="E32" s="61">
        <v>148993</v>
      </c>
      <c r="F32" s="61">
        <v>221987.6</v>
      </c>
      <c r="G32" s="55"/>
    </row>
    <row r="33" spans="1:7" ht="23">
      <c r="A33" s="55" t="s">
        <v>277</v>
      </c>
      <c r="B33" s="61">
        <v>7385.4</v>
      </c>
      <c r="C33" s="61">
        <v>6026.2</v>
      </c>
      <c r="D33" s="61">
        <v>8475.5</v>
      </c>
      <c r="E33" s="61">
        <v>93647.2</v>
      </c>
      <c r="F33" s="61">
        <v>150198.79999999999</v>
      </c>
      <c r="G33" s="55"/>
    </row>
    <row r="34" spans="1:7" ht="23">
      <c r="A34" s="55" t="s">
        <v>278</v>
      </c>
      <c r="B34" s="61">
        <f>3553.1+56.8</f>
        <v>3609.9</v>
      </c>
      <c r="C34" s="61">
        <f>15242.9+3252.1</f>
        <v>18495</v>
      </c>
      <c r="D34" s="61">
        <f>14762.8+2845.6</f>
        <v>17608.399999999998</v>
      </c>
      <c r="E34" s="61">
        <f>18301.7+2564.3</f>
        <v>20866</v>
      </c>
      <c r="F34" s="61">
        <f>36885.5+2283</f>
        <v>39168.5</v>
      </c>
      <c r="G34" s="55"/>
    </row>
    <row r="35" spans="1:7" ht="23">
      <c r="A35" s="55" t="s">
        <v>279</v>
      </c>
      <c r="B35" s="61">
        <v>845</v>
      </c>
      <c r="C35" s="61">
        <v>845</v>
      </c>
      <c r="D35" s="61">
        <v>845</v>
      </c>
      <c r="E35" s="61">
        <v>845</v>
      </c>
      <c r="F35" s="61">
        <v>935</v>
      </c>
      <c r="G35" s="55"/>
    </row>
    <row r="36" spans="1:7" ht="23">
      <c r="A36" s="55" t="s">
        <v>280</v>
      </c>
      <c r="B36" s="61">
        <v>150.30000000000001</v>
      </c>
      <c r="C36" s="61">
        <v>4965.1000000000004</v>
      </c>
      <c r="D36" s="61">
        <v>4458.2</v>
      </c>
      <c r="E36" s="61">
        <v>3982.1</v>
      </c>
      <c r="F36" s="61">
        <v>3943.9</v>
      </c>
      <c r="G36" s="55"/>
    </row>
    <row r="37" spans="1:7" ht="23">
      <c r="A37" s="55" t="s">
        <v>281</v>
      </c>
      <c r="B37" s="61">
        <f>1845.5+895.5</f>
        <v>2741</v>
      </c>
      <c r="C37" s="61">
        <f>1911.7+836.1</f>
        <v>2747.8</v>
      </c>
      <c r="D37" s="61">
        <f>1982+558.7</f>
        <v>2540.6999999999998</v>
      </c>
      <c r="E37" s="61">
        <f>1759.9+407.9</f>
        <v>2167.8000000000002</v>
      </c>
      <c r="F37" s="61">
        <f>1481.4+278.2</f>
        <v>1759.6000000000001</v>
      </c>
      <c r="G37" s="55"/>
    </row>
    <row r="38" spans="1:7" ht="23">
      <c r="A38" s="55" t="s">
        <v>282</v>
      </c>
      <c r="B38" s="61">
        <v>964.5</v>
      </c>
      <c r="C38" s="61">
        <v>881.7</v>
      </c>
      <c r="D38" s="61">
        <v>1491.2</v>
      </c>
      <c r="E38" s="61">
        <v>1138.7</v>
      </c>
      <c r="F38" s="61">
        <f>1852.7+1588.4</f>
        <v>3441.1000000000004</v>
      </c>
      <c r="G38" s="55"/>
    </row>
    <row r="39" spans="1:7" ht="26">
      <c r="A39" s="55" t="s">
        <v>283</v>
      </c>
      <c r="B39" s="62">
        <v>1602.9</v>
      </c>
      <c r="C39" s="62">
        <v>1104.7</v>
      </c>
      <c r="D39" s="62">
        <v>5467.2</v>
      </c>
      <c r="E39" s="62">
        <v>9908.7999999999993</v>
      </c>
      <c r="F39" s="62">
        <v>15337</v>
      </c>
      <c r="G39" s="55"/>
    </row>
    <row r="40" spans="1:7" ht="26">
      <c r="A40" s="55"/>
      <c r="B40" s="62">
        <f t="shared" ref="B40:F40" si="4">SUM(B32:B39)</f>
        <v>142516.79999999999</v>
      </c>
      <c r="C40" s="62">
        <f t="shared" si="4"/>
        <v>164402.70000000001</v>
      </c>
      <c r="D40" s="62">
        <f t="shared" si="4"/>
        <v>174719.90000000005</v>
      </c>
      <c r="E40" s="62">
        <f t="shared" si="4"/>
        <v>281548.59999999998</v>
      </c>
      <c r="F40" s="62">
        <f t="shared" si="4"/>
        <v>436771.5</v>
      </c>
      <c r="G40" s="55"/>
    </row>
    <row r="41" spans="1:7" ht="23">
      <c r="A41" s="54" t="s">
        <v>31</v>
      </c>
      <c r="B41" s="61"/>
      <c r="C41" s="61"/>
      <c r="D41" s="61"/>
      <c r="E41" s="61"/>
      <c r="F41" s="61"/>
      <c r="G41" s="55"/>
    </row>
    <row r="42" spans="1:7" ht="23">
      <c r="A42" s="55" t="s">
        <v>284</v>
      </c>
      <c r="B42" s="61">
        <v>1774.6</v>
      </c>
      <c r="C42" s="61">
        <v>1859.4</v>
      </c>
      <c r="D42" s="61">
        <v>2487</v>
      </c>
      <c r="E42" s="61">
        <v>4306.8</v>
      </c>
      <c r="F42" s="61">
        <v>3655.6</v>
      </c>
      <c r="G42" s="55"/>
    </row>
    <row r="43" spans="1:7" ht="23">
      <c r="A43" s="55" t="s">
        <v>285</v>
      </c>
      <c r="B43" s="61">
        <v>18126.3</v>
      </c>
      <c r="C43" s="61">
        <v>17190.3</v>
      </c>
      <c r="D43" s="61">
        <f>22347.9+1287.8</f>
        <v>23635.7</v>
      </c>
      <c r="E43" s="61">
        <f>25919.2+1285</f>
        <v>27204.2</v>
      </c>
      <c r="F43" s="61">
        <v>40791.5</v>
      </c>
      <c r="G43" s="55"/>
    </row>
    <row r="44" spans="1:7" ht="23">
      <c r="A44" s="55" t="s">
        <v>282</v>
      </c>
      <c r="B44" s="61">
        <v>1984.6</v>
      </c>
      <c r="C44" s="61">
        <v>2563.8000000000002</v>
      </c>
      <c r="D44" s="61">
        <v>3043.4</v>
      </c>
      <c r="E44" s="61">
        <v>2951.5</v>
      </c>
      <c r="F44" s="61">
        <v>4395</v>
      </c>
      <c r="G44" s="55"/>
    </row>
    <row r="45" spans="1:7" ht="23">
      <c r="A45" s="55" t="s">
        <v>286</v>
      </c>
      <c r="B45" s="61">
        <v>0</v>
      </c>
      <c r="C45" s="61">
        <v>260.39999999999998</v>
      </c>
      <c r="D45" s="61">
        <v>7.2</v>
      </c>
      <c r="E45" s="61">
        <v>7.9</v>
      </c>
      <c r="F45" s="61">
        <v>851.6</v>
      </c>
      <c r="G45" s="55"/>
    </row>
    <row r="46" spans="1:7" ht="23">
      <c r="A46" s="55" t="s">
        <v>287</v>
      </c>
      <c r="B46" s="61">
        <v>8043</v>
      </c>
      <c r="C46" s="61">
        <v>188.6</v>
      </c>
      <c r="D46" s="61"/>
      <c r="E46" s="61"/>
      <c r="F46" s="61">
        <v>28.6</v>
      </c>
      <c r="G46" s="55"/>
    </row>
    <row r="47" spans="1:7" ht="26">
      <c r="A47" s="55" t="s">
        <v>97</v>
      </c>
      <c r="B47" s="62">
        <v>20030.099999999999</v>
      </c>
      <c r="C47" s="62">
        <v>26759.7</v>
      </c>
      <c r="D47" s="62">
        <v>26736.1</v>
      </c>
      <c r="E47" s="62">
        <v>30779.599999999999</v>
      </c>
      <c r="F47" s="62">
        <f>22098.1+615.1</f>
        <v>22713.199999999997</v>
      </c>
      <c r="G47" s="55"/>
    </row>
    <row r="48" spans="1:7" ht="26">
      <c r="A48" s="55"/>
      <c r="B48" s="62">
        <f>SUM(B42:B47)</f>
        <v>49958.599999999991</v>
      </c>
      <c r="C48" s="62">
        <f>SUM(C42:C47)</f>
        <v>48822.2</v>
      </c>
      <c r="D48" s="62">
        <f>SUM(D42:D47)</f>
        <v>55909.4</v>
      </c>
      <c r="E48" s="62">
        <f>SUM(E42:E47)</f>
        <v>65250</v>
      </c>
      <c r="F48" s="62">
        <f>SUM(F42:F47)</f>
        <v>72435.5</v>
      </c>
      <c r="G48" s="55"/>
    </row>
    <row r="49" spans="1:7" ht="26">
      <c r="A49" s="54" t="s">
        <v>288</v>
      </c>
      <c r="B49" s="63">
        <f>B40+B48</f>
        <v>192475.39999999997</v>
      </c>
      <c r="C49" s="63">
        <f>C40+C48</f>
        <v>213224.90000000002</v>
      </c>
      <c r="D49" s="63">
        <f>D40+D48</f>
        <v>230629.30000000005</v>
      </c>
      <c r="E49" s="63">
        <f>E40+E48</f>
        <v>346798.6</v>
      </c>
      <c r="F49" s="63">
        <f>F40+F48</f>
        <v>509207</v>
      </c>
      <c r="G49" s="55"/>
    </row>
    <row r="50" spans="1:7" ht="23">
      <c r="A50" s="55"/>
      <c r="B50" s="55"/>
      <c r="C50" s="55"/>
      <c r="D50" s="55"/>
      <c r="E50" s="55"/>
      <c r="F50" s="55"/>
      <c r="G50" s="55"/>
    </row>
    <row r="51" spans="1:7" ht="23">
      <c r="A51" s="54" t="s">
        <v>74</v>
      </c>
      <c r="B51" s="54"/>
      <c r="C51" s="54"/>
      <c r="D51" s="54"/>
      <c r="E51" s="54"/>
      <c r="F51" s="54"/>
      <c r="G51" s="55"/>
    </row>
    <row r="52" spans="1:7" ht="23">
      <c r="A52" s="54" t="s">
        <v>36</v>
      </c>
      <c r="B52" s="56"/>
      <c r="C52" s="56"/>
      <c r="D52" s="56"/>
      <c r="E52" s="56"/>
      <c r="F52" s="56"/>
      <c r="G52" s="55"/>
    </row>
    <row r="53" spans="1:7" ht="23">
      <c r="A53" s="55" t="s">
        <v>256</v>
      </c>
      <c r="B53" s="61">
        <v>2003.3</v>
      </c>
      <c r="C53" s="61">
        <v>2003.3</v>
      </c>
      <c r="D53" s="61">
        <v>2003</v>
      </c>
      <c r="E53" s="61">
        <v>2003</v>
      </c>
      <c r="F53" s="61">
        <v>2003.3</v>
      </c>
      <c r="G53" s="55"/>
    </row>
    <row r="54" spans="1:7" ht="23">
      <c r="A54" s="55" t="s">
        <v>289</v>
      </c>
      <c r="B54" s="61">
        <v>2200</v>
      </c>
      <c r="C54" s="61">
        <v>2200</v>
      </c>
      <c r="D54" s="61">
        <v>2200</v>
      </c>
      <c r="E54" s="61">
        <v>2200</v>
      </c>
      <c r="F54" s="61">
        <v>2200</v>
      </c>
      <c r="G54" s="55"/>
    </row>
    <row r="55" spans="1:7" ht="23">
      <c r="A55" s="55" t="s">
        <v>290</v>
      </c>
      <c r="B55" s="61">
        <v>0</v>
      </c>
      <c r="C55" s="61">
        <v>0</v>
      </c>
      <c r="D55" s="61">
        <v>0</v>
      </c>
      <c r="E55" s="61">
        <v>-5312.7</v>
      </c>
      <c r="F55" s="61">
        <v>36688.400000000001</v>
      </c>
      <c r="G55" s="55"/>
    </row>
    <row r="56" spans="1:7" ht="26">
      <c r="A56" s="55" t="s">
        <v>291</v>
      </c>
      <c r="B56" s="62">
        <f>65218.9+74922.4</f>
        <v>140141.29999999999</v>
      </c>
      <c r="C56" s="62">
        <f>82785.2+56091.6</f>
        <v>138876.79999999999</v>
      </c>
      <c r="D56" s="62">
        <f>96571.8+36860.2</f>
        <v>133432</v>
      </c>
      <c r="E56" s="62">
        <f>110528.9+30049.1</f>
        <v>140578</v>
      </c>
      <c r="F56" s="62">
        <f>121823.6+24840.6</f>
        <v>146664.20000000001</v>
      </c>
      <c r="G56" s="55"/>
    </row>
    <row r="57" spans="1:7" ht="23">
      <c r="A57" s="55" t="s">
        <v>292</v>
      </c>
      <c r="B57" s="61">
        <f t="shared" ref="B57:C57" si="5">SUM(B53:B56)</f>
        <v>144344.59999999998</v>
      </c>
      <c r="C57" s="61">
        <f t="shared" si="5"/>
        <v>143080.09999999998</v>
      </c>
      <c r="D57" s="61">
        <f>SUM(D53:D56)</f>
        <v>137635</v>
      </c>
      <c r="E57" s="61">
        <f>SUM(E53:E56)</f>
        <v>139468.29999999999</v>
      </c>
      <c r="F57" s="61">
        <f>SUM(F53:F56)</f>
        <v>187555.90000000002</v>
      </c>
      <c r="G57" s="55"/>
    </row>
    <row r="58" spans="1:7" ht="26">
      <c r="A58" s="55" t="s">
        <v>293</v>
      </c>
      <c r="B58" s="62">
        <v>0</v>
      </c>
      <c r="C58" s="62">
        <v>0</v>
      </c>
      <c r="D58" s="62">
        <v>0</v>
      </c>
      <c r="E58" s="62">
        <v>40232.300000000003</v>
      </c>
      <c r="F58" s="62">
        <v>75810</v>
      </c>
      <c r="G58" s="55"/>
    </row>
    <row r="59" spans="1:7" ht="26">
      <c r="A59" s="55" t="s">
        <v>294</v>
      </c>
      <c r="B59" s="62">
        <f>SUM(B53:B56)</f>
        <v>144344.59999999998</v>
      </c>
      <c r="C59" s="62">
        <f>SUM(C53:C56)</f>
        <v>143080.09999999998</v>
      </c>
      <c r="D59" s="62">
        <f>D57+D58</f>
        <v>137635</v>
      </c>
      <c r="E59" s="62">
        <f>E57+E58</f>
        <v>179700.59999999998</v>
      </c>
      <c r="F59" s="62">
        <f>F57+F58</f>
        <v>263365.90000000002</v>
      </c>
      <c r="G59" s="55"/>
    </row>
    <row r="60" spans="1:7" ht="26">
      <c r="A60" s="55"/>
      <c r="B60" s="62"/>
      <c r="C60" s="62"/>
      <c r="D60" s="62"/>
      <c r="E60" s="62"/>
      <c r="F60" s="62"/>
      <c r="G60" s="55"/>
    </row>
    <row r="61" spans="1:7" ht="23">
      <c r="A61" s="54" t="s">
        <v>150</v>
      </c>
      <c r="B61" s="61"/>
      <c r="C61" s="61"/>
      <c r="D61" s="61"/>
      <c r="E61" s="61"/>
      <c r="F61" s="61"/>
      <c r="G61" s="55"/>
    </row>
    <row r="62" spans="1:7" ht="23">
      <c r="A62" s="54" t="s">
        <v>39</v>
      </c>
      <c r="B62" s="61"/>
      <c r="C62" s="61"/>
      <c r="D62" s="61"/>
      <c r="E62" s="61"/>
      <c r="F62" s="61"/>
      <c r="G62" s="55"/>
    </row>
    <row r="63" spans="1:7" ht="23">
      <c r="A63" s="55" t="s">
        <v>295</v>
      </c>
      <c r="B63" s="61">
        <v>0</v>
      </c>
      <c r="C63" s="61">
        <v>0</v>
      </c>
      <c r="D63" s="61">
        <v>0</v>
      </c>
      <c r="E63" s="61">
        <v>44910.8</v>
      </c>
      <c r="F63" s="61">
        <v>42050</v>
      </c>
      <c r="G63" s="55"/>
    </row>
    <row r="64" spans="1:7" ht="23">
      <c r="A64" s="55" t="s">
        <v>296</v>
      </c>
      <c r="B64" s="61">
        <v>1131</v>
      </c>
      <c r="C64" s="61">
        <v>985.4</v>
      </c>
      <c r="D64" s="61">
        <v>0</v>
      </c>
      <c r="E64" s="61">
        <v>4330.6000000000004</v>
      </c>
      <c r="F64" s="61">
        <v>27359.3</v>
      </c>
      <c r="G64" s="55"/>
    </row>
    <row r="65" spans="1:7" ht="23">
      <c r="A65" s="55" t="s">
        <v>297</v>
      </c>
      <c r="B65" s="61">
        <v>0</v>
      </c>
      <c r="C65" s="61">
        <v>0</v>
      </c>
      <c r="D65" s="61">
        <v>3151.4</v>
      </c>
      <c r="E65" s="61">
        <v>3183.3</v>
      </c>
      <c r="F65" s="61">
        <v>4462.8</v>
      </c>
      <c r="G65" s="55"/>
    </row>
    <row r="66" spans="1:7" ht="23">
      <c r="A66" s="55" t="s">
        <v>298</v>
      </c>
      <c r="B66" s="61">
        <v>739.5</v>
      </c>
      <c r="C66" s="61">
        <v>983.4</v>
      </c>
      <c r="D66" s="61">
        <v>2436.1</v>
      </c>
      <c r="E66" s="61">
        <v>1937.5</v>
      </c>
      <c r="F66" s="61">
        <v>1607.8</v>
      </c>
      <c r="G66" s="55"/>
    </row>
    <row r="67" spans="1:7" ht="26">
      <c r="A67" s="55" t="s">
        <v>299</v>
      </c>
      <c r="B67" s="62">
        <v>0</v>
      </c>
      <c r="C67" s="62">
        <v>11675.3</v>
      </c>
      <c r="D67" s="62">
        <v>11954.2</v>
      </c>
      <c r="E67" s="62">
        <v>14584.9</v>
      </c>
      <c r="F67" s="62">
        <v>29984</v>
      </c>
      <c r="G67" s="55"/>
    </row>
    <row r="68" spans="1:7" ht="26">
      <c r="A68" s="55"/>
      <c r="B68" s="62">
        <f>SUM(B64:B67)</f>
        <v>1870.5</v>
      </c>
      <c r="C68" s="62">
        <f>SUM(C64:C67)</f>
        <v>13644.099999999999</v>
      </c>
      <c r="D68" s="62">
        <f>SUM(D63:D67)</f>
        <v>17541.7</v>
      </c>
      <c r="E68" s="62">
        <f>SUM(E63:E67)</f>
        <v>68947.100000000006</v>
      </c>
      <c r="F68" s="62">
        <f>SUM(F63:F67)</f>
        <v>105463.90000000001</v>
      </c>
      <c r="G68" s="55"/>
    </row>
    <row r="69" spans="1:7" ht="23">
      <c r="A69" s="54" t="s">
        <v>40</v>
      </c>
      <c r="B69" s="61"/>
      <c r="C69" s="61"/>
      <c r="D69" s="61"/>
      <c r="E69" s="61"/>
      <c r="F69" s="61"/>
      <c r="G69" s="55"/>
    </row>
    <row r="70" spans="1:7" ht="23">
      <c r="A70" s="55" t="s">
        <v>300</v>
      </c>
      <c r="B70" s="61">
        <v>28703.9</v>
      </c>
      <c r="C70" s="61">
        <v>29920.1</v>
      </c>
      <c r="D70" s="61">
        <v>34021.4</v>
      </c>
      <c r="E70" s="61">
        <v>41312.6</v>
      </c>
      <c r="F70" s="61">
        <v>72688.2</v>
      </c>
      <c r="G70" s="55"/>
    </row>
    <row r="71" spans="1:7" ht="23">
      <c r="A71" s="55" t="s">
        <v>295</v>
      </c>
      <c r="B71" s="61">
        <v>4032</v>
      </c>
      <c r="C71" s="61">
        <v>8000</v>
      </c>
      <c r="D71" s="61">
        <v>14772</v>
      </c>
      <c r="E71" s="61">
        <v>20400</v>
      </c>
      <c r="F71" s="61">
        <v>43492.3</v>
      </c>
      <c r="G71" s="55"/>
    </row>
    <row r="72" spans="1:7" ht="23">
      <c r="A72" s="55" t="s">
        <v>301</v>
      </c>
      <c r="B72" s="61">
        <v>0</v>
      </c>
      <c r="C72" s="61">
        <v>1045.0999999999999</v>
      </c>
      <c r="D72" s="61">
        <v>8684.1</v>
      </c>
      <c r="E72" s="61">
        <v>12053.9</v>
      </c>
      <c r="F72" s="61">
        <v>1783</v>
      </c>
      <c r="G72" s="55"/>
    </row>
    <row r="73" spans="1:7" ht="23">
      <c r="A73" s="55" t="s">
        <v>297</v>
      </c>
      <c r="B73" s="61">
        <v>3893.5</v>
      </c>
      <c r="C73" s="61">
        <v>4462.3</v>
      </c>
      <c r="D73" s="61">
        <v>2561.5</v>
      </c>
      <c r="E73" s="61">
        <v>3373.8</v>
      </c>
      <c r="F73" s="61">
        <v>4524.1000000000004</v>
      </c>
      <c r="G73" s="55"/>
    </row>
    <row r="74" spans="1:7" ht="23">
      <c r="A74" s="55" t="s">
        <v>298</v>
      </c>
      <c r="B74" s="61">
        <v>9279.6</v>
      </c>
      <c r="C74" s="61">
        <v>9410.9</v>
      </c>
      <c r="D74" s="61">
        <v>11033.5</v>
      </c>
      <c r="E74" s="61">
        <v>10210.6</v>
      </c>
      <c r="F74" s="61">
        <v>10125.9</v>
      </c>
      <c r="G74" s="55"/>
    </row>
    <row r="75" spans="1:7" ht="23">
      <c r="A75" s="55" t="s">
        <v>299</v>
      </c>
      <c r="B75" s="61">
        <v>0</v>
      </c>
      <c r="C75" s="61">
        <v>3549.4</v>
      </c>
      <c r="D75" s="61">
        <v>4119.5</v>
      </c>
      <c r="E75" s="61">
        <v>5508.5</v>
      </c>
      <c r="F75" s="61">
        <v>5354.9</v>
      </c>
      <c r="G75" s="55"/>
    </row>
    <row r="76" spans="1:7" ht="26">
      <c r="A76" s="55" t="s">
        <v>302</v>
      </c>
      <c r="B76" s="62">
        <v>351.3</v>
      </c>
      <c r="C76" s="62">
        <v>112.9</v>
      </c>
      <c r="D76" s="62">
        <v>260.3</v>
      </c>
      <c r="E76" s="62">
        <v>5291.2</v>
      </c>
      <c r="F76" s="62">
        <v>2408.8000000000002</v>
      </c>
      <c r="G76" s="55"/>
    </row>
    <row r="77" spans="1:7" ht="26">
      <c r="A77" s="55"/>
      <c r="B77" s="62">
        <f t="shared" ref="B77:F77" si="6">SUM(B70:B76)</f>
        <v>46260.3</v>
      </c>
      <c r="C77" s="62">
        <f t="shared" si="6"/>
        <v>56500.700000000004</v>
      </c>
      <c r="D77" s="62">
        <f t="shared" si="6"/>
        <v>75452.3</v>
      </c>
      <c r="E77" s="62">
        <f t="shared" si="6"/>
        <v>98150.6</v>
      </c>
      <c r="F77" s="62">
        <f t="shared" si="6"/>
        <v>140377.19999999998</v>
      </c>
      <c r="G77" s="55"/>
    </row>
    <row r="78" spans="1:7" ht="26">
      <c r="A78" s="54" t="s">
        <v>303</v>
      </c>
      <c r="B78" s="62">
        <f t="shared" ref="B78:F78" si="7">B68+B77</f>
        <v>48130.8</v>
      </c>
      <c r="C78" s="62">
        <f t="shared" si="7"/>
        <v>70144.800000000003</v>
      </c>
      <c r="D78" s="62">
        <f t="shared" si="7"/>
        <v>92994</v>
      </c>
      <c r="E78" s="62">
        <f t="shared" si="7"/>
        <v>167097.70000000001</v>
      </c>
      <c r="F78" s="62">
        <f t="shared" si="7"/>
        <v>245841.09999999998</v>
      </c>
      <c r="G78" s="55"/>
    </row>
    <row r="79" spans="1:7" ht="26">
      <c r="A79" s="54" t="s">
        <v>304</v>
      </c>
      <c r="B79" s="63">
        <f t="shared" ref="B79:F79" si="8">B59+B78</f>
        <v>192475.39999999997</v>
      </c>
      <c r="C79" s="63">
        <f t="shared" si="8"/>
        <v>213224.89999999997</v>
      </c>
      <c r="D79" s="63">
        <f t="shared" si="8"/>
        <v>230629</v>
      </c>
      <c r="E79" s="63">
        <f t="shared" si="8"/>
        <v>346798.3</v>
      </c>
      <c r="F79" s="63">
        <f t="shared" si="8"/>
        <v>509207</v>
      </c>
      <c r="G79" s="55"/>
    </row>
    <row r="80" spans="1:7" ht="19.5">
      <c r="A80" s="27"/>
      <c r="B80" s="64"/>
      <c r="C80" s="64"/>
      <c r="D80" s="64"/>
      <c r="E80" s="64"/>
      <c r="G80" s="29"/>
    </row>
    <row r="81" spans="1:7" ht="19.5">
      <c r="A81" s="27"/>
      <c r="B81" s="64"/>
      <c r="C81" s="64"/>
      <c r="D81" s="64"/>
      <c r="E81" s="64"/>
      <c r="G81" s="29"/>
    </row>
    <row r="82" spans="1:7" ht="22.5">
      <c r="A82" s="27"/>
      <c r="B82" s="65"/>
      <c r="C82" s="65"/>
      <c r="D82" s="65"/>
      <c r="E82" s="65"/>
      <c r="F82" s="53" t="s">
        <v>305</v>
      </c>
      <c r="G82" s="29"/>
    </row>
    <row r="83" spans="1:7" ht="22.5">
      <c r="A83" s="27"/>
      <c r="B83" s="65"/>
      <c r="C83" s="65"/>
      <c r="D83" s="65"/>
      <c r="E83" s="65"/>
      <c r="F83" s="53" t="s">
        <v>306</v>
      </c>
      <c r="G83" s="29"/>
    </row>
    <row r="84" spans="1:7" ht="20">
      <c r="A84" s="27"/>
      <c r="B84" s="65"/>
      <c r="C84" s="65"/>
      <c r="D84" s="65"/>
      <c r="E84" s="65"/>
      <c r="F84" s="66"/>
      <c r="G84" s="29"/>
    </row>
    <row r="85" spans="1:7" ht="20">
      <c r="A85" s="27"/>
      <c r="B85" s="65"/>
      <c r="C85" s="65"/>
      <c r="D85" s="65"/>
      <c r="E85" s="65"/>
      <c r="F85" s="66"/>
      <c r="G85" s="29"/>
    </row>
    <row r="86" spans="1:7" ht="23">
      <c r="A86" s="55"/>
      <c r="B86" s="54">
        <v>2019</v>
      </c>
      <c r="C86" s="54">
        <v>2020</v>
      </c>
      <c r="D86" s="54">
        <v>2021</v>
      </c>
      <c r="E86" s="54">
        <v>2022</v>
      </c>
      <c r="F86" s="54">
        <v>2023</v>
      </c>
      <c r="G86" s="29"/>
    </row>
    <row r="87" spans="1:7" ht="23">
      <c r="A87" s="55" t="s">
        <v>307</v>
      </c>
      <c r="B87" s="67">
        <v>99811.6</v>
      </c>
      <c r="C87" s="67">
        <v>110362.6</v>
      </c>
      <c r="D87" s="67">
        <v>105197.3</v>
      </c>
      <c r="E87" s="67">
        <v>110700.5</v>
      </c>
      <c r="F87" s="67">
        <v>115151.1</v>
      </c>
      <c r="G87" s="29"/>
    </row>
    <row r="88" spans="1:7" ht="23">
      <c r="A88" s="55" t="s">
        <v>308</v>
      </c>
      <c r="B88" s="68">
        <v>40065</v>
      </c>
      <c r="C88" s="68">
        <v>40065</v>
      </c>
      <c r="D88" s="68">
        <v>40065</v>
      </c>
      <c r="E88" s="68">
        <v>40065</v>
      </c>
      <c r="F88" s="68">
        <v>40065</v>
      </c>
      <c r="G88" s="29"/>
    </row>
    <row r="89" spans="1:7" ht="23">
      <c r="A89" s="55" t="s">
        <v>309</v>
      </c>
      <c r="B89" s="69">
        <v>28</v>
      </c>
      <c r="C89" s="69">
        <v>27</v>
      </c>
      <c r="D89" s="69">
        <v>37</v>
      </c>
      <c r="E89" s="69">
        <v>35</v>
      </c>
      <c r="F89" s="69">
        <v>18.100000000000001</v>
      </c>
      <c r="G89" s="29"/>
    </row>
    <row r="90" spans="1:7" ht="23">
      <c r="A90" s="55" t="s">
        <v>310</v>
      </c>
      <c r="B90" s="69">
        <v>44071</v>
      </c>
      <c r="C90" s="69">
        <v>73877.3</v>
      </c>
      <c r="D90" s="69">
        <v>66482</v>
      </c>
      <c r="E90" s="69">
        <v>59132.3</v>
      </c>
      <c r="F90" s="69">
        <v>63557.7</v>
      </c>
      <c r="G90" s="29"/>
    </row>
    <row r="91" spans="1:7" ht="23">
      <c r="A91" s="55"/>
      <c r="B91" s="55"/>
      <c r="C91" s="55"/>
      <c r="D91" s="55"/>
      <c r="E91" s="69"/>
      <c r="F91" s="69"/>
      <c r="G91" s="29"/>
    </row>
    <row r="92" spans="1:7" ht="23">
      <c r="A92" s="55"/>
      <c r="B92" s="55"/>
      <c r="C92" s="55"/>
      <c r="D92" s="55"/>
      <c r="E92" s="55"/>
      <c r="F92" s="55"/>
      <c r="G92" s="29"/>
    </row>
    <row r="93" spans="1:7" ht="22.5">
      <c r="A93" s="54" t="s">
        <v>311</v>
      </c>
      <c r="B93" s="54">
        <v>2019</v>
      </c>
      <c r="C93" s="54">
        <v>2020</v>
      </c>
      <c r="D93" s="54">
        <v>2021</v>
      </c>
      <c r="E93" s="54">
        <v>2022</v>
      </c>
      <c r="F93" s="54">
        <v>2023</v>
      </c>
      <c r="G93" s="29"/>
    </row>
    <row r="94" spans="1:7" ht="23">
      <c r="A94" s="55" t="s">
        <v>312</v>
      </c>
      <c r="B94" s="69">
        <v>1.3003381211313241</v>
      </c>
      <c r="C94" s="69">
        <v>1.231355718773933</v>
      </c>
      <c r="D94" s="69">
        <v>1.1448090073550929</v>
      </c>
      <c r="E94" s="69">
        <v>0.85951298534653842</v>
      </c>
      <c r="F94" s="69">
        <v>0.61056701891372267</v>
      </c>
      <c r="G94" s="29"/>
    </row>
    <row r="95" spans="1:7" ht="23">
      <c r="A95" s="55" t="s">
        <v>313</v>
      </c>
      <c r="B95" s="70">
        <v>0.50272437586330898</v>
      </c>
      <c r="C95" s="70">
        <v>0.53359243415929269</v>
      </c>
      <c r="D95" s="70">
        <v>0.51201528078897052</v>
      </c>
      <c r="E95" s="70">
        <v>0.45280584777196586</v>
      </c>
      <c r="F95" s="70">
        <v>0.37524077132622635</v>
      </c>
      <c r="G95" s="29"/>
    </row>
    <row r="96" spans="1:7" ht="23">
      <c r="A96" s="55" t="s">
        <v>314</v>
      </c>
      <c r="B96" s="71">
        <v>0.32466746399799679</v>
      </c>
      <c r="C96" s="71">
        <v>0.3454469904781291</v>
      </c>
      <c r="D96" s="71">
        <v>0.29777781631971695</v>
      </c>
      <c r="E96" s="71">
        <v>0.19462638657686618</v>
      </c>
      <c r="F96" s="71">
        <v>0.10306672924763406</v>
      </c>
      <c r="G96" s="29"/>
    </row>
    <row r="97" spans="1:7" ht="23">
      <c r="A97" s="55" t="s">
        <v>315</v>
      </c>
      <c r="B97" s="71">
        <v>0.43292579008844129</v>
      </c>
      <c r="C97" s="71">
        <v>0.51480184875464885</v>
      </c>
      <c r="D97" s="71">
        <v>0.4989733715987939</v>
      </c>
      <c r="E97" s="71">
        <v>0.37560308646715712</v>
      </c>
      <c r="F97" s="71">
        <v>0.1992752288735937</v>
      </c>
      <c r="G97" s="29"/>
    </row>
    <row r="98" spans="1:7" ht="23">
      <c r="A98" s="55" t="s">
        <v>316</v>
      </c>
      <c r="B98" s="69">
        <v>1.0799454391778693</v>
      </c>
      <c r="C98" s="69">
        <v>0.86409902886158918</v>
      </c>
      <c r="D98" s="69">
        <v>0.74099000295550965</v>
      </c>
      <c r="E98" s="69">
        <v>0.66479471343017771</v>
      </c>
      <c r="F98" s="69">
        <v>0.51600616054458992</v>
      </c>
      <c r="G98" s="29"/>
    </row>
    <row r="99" spans="1:7" ht="23">
      <c r="A99" s="55" t="s">
        <v>317</v>
      </c>
      <c r="B99" s="71">
        <v>0.25006208585616663</v>
      </c>
      <c r="C99" s="71">
        <v>0.328970959770646</v>
      </c>
      <c r="D99" s="71">
        <v>0.40321902275949684</v>
      </c>
      <c r="E99" s="71">
        <v>0.48182963988001098</v>
      </c>
      <c r="F99" s="71">
        <v>0.48279206688046311</v>
      </c>
      <c r="G99" s="29"/>
    </row>
    <row r="100" spans="1:7" ht="23">
      <c r="A100" s="55" t="s">
        <v>318</v>
      </c>
      <c r="B100" s="69">
        <v>1.5597279420940975</v>
      </c>
      <c r="C100" s="69">
        <v>1.8384600024959448</v>
      </c>
      <c r="D100" s="69">
        <v>1.7141195557219517</v>
      </c>
      <c r="E100" s="69">
        <v>1.6846649195058032</v>
      </c>
      <c r="F100" s="69">
        <v>1.3099288655934107</v>
      </c>
      <c r="G100" s="29"/>
    </row>
    <row r="101" spans="1:7" ht="23">
      <c r="A101" s="55" t="s">
        <v>319</v>
      </c>
      <c r="B101" s="69">
        <v>1.0999875202795457</v>
      </c>
      <c r="C101" s="69">
        <v>1.8439361038312743</v>
      </c>
      <c r="D101" s="69">
        <v>1.6593535504804693</v>
      </c>
      <c r="E101" s="69">
        <v>1.475909147635093</v>
      </c>
      <c r="F101" s="69">
        <v>1.5863646574316734</v>
      </c>
      <c r="G101" s="29"/>
    </row>
    <row r="102" spans="1:7" ht="23">
      <c r="A102" s="55" t="s">
        <v>320</v>
      </c>
      <c r="B102" s="69">
        <v>3.6027605141644821</v>
      </c>
      <c r="C102" s="69">
        <v>3.5711993011356538</v>
      </c>
      <c r="D102" s="69">
        <v>3.4352926494446523</v>
      </c>
      <c r="E102" s="69">
        <v>3.4810507924622485</v>
      </c>
      <c r="F102" s="69">
        <v>4.6812904030949714</v>
      </c>
      <c r="G102" s="29"/>
    </row>
    <row r="103" spans="1:7" ht="23">
      <c r="A103" s="55"/>
      <c r="B103" s="55"/>
      <c r="C103" s="55"/>
      <c r="D103" s="55"/>
      <c r="E103" s="55"/>
      <c r="F103" s="55"/>
      <c r="G103" s="29"/>
    </row>
    <row r="104" spans="1:7" ht="23">
      <c r="A104" s="54" t="s">
        <v>47</v>
      </c>
      <c r="B104" s="55"/>
      <c r="C104" s="55"/>
      <c r="D104" s="55"/>
      <c r="E104" s="55"/>
      <c r="F104" s="55"/>
      <c r="G104" s="29"/>
    </row>
    <row r="105" spans="1:7" ht="23">
      <c r="A105" s="55" t="s">
        <v>321</v>
      </c>
      <c r="B105" s="55"/>
      <c r="C105" s="55"/>
      <c r="D105" s="55"/>
      <c r="E105" s="55"/>
      <c r="F105" s="55"/>
      <c r="G105" s="29"/>
    </row>
    <row r="106" spans="1:7" ht="23">
      <c r="A106" s="55"/>
      <c r="B106" s="55"/>
      <c r="C106" s="55"/>
      <c r="D106" s="55"/>
      <c r="E106" s="55"/>
      <c r="F106" s="55"/>
      <c r="G106" s="29"/>
    </row>
    <row r="107" spans="1:7" ht="23">
      <c r="A107" s="55" t="s">
        <v>322</v>
      </c>
      <c r="B107" s="55"/>
      <c r="C107" s="55"/>
      <c r="D107" s="55"/>
      <c r="E107" s="55"/>
      <c r="F107" s="55"/>
      <c r="G107" s="29"/>
    </row>
    <row r="108" spans="1:7" ht="23">
      <c r="A108" s="55"/>
      <c r="B108" s="55"/>
      <c r="C108" s="55"/>
      <c r="D108" s="55"/>
      <c r="E108" s="55"/>
      <c r="F108" s="55"/>
      <c r="G108" s="29"/>
    </row>
    <row r="109" spans="1:7" ht="23">
      <c r="A109" s="55" t="s">
        <v>323</v>
      </c>
      <c r="B109" s="55"/>
      <c r="C109" s="55"/>
      <c r="D109" s="55"/>
      <c r="E109" s="55"/>
      <c r="F109" s="56" t="s">
        <v>324</v>
      </c>
      <c r="G109" s="29"/>
    </row>
    <row r="110" spans="1:7" ht="23">
      <c r="A110" s="55"/>
      <c r="B110" s="55"/>
      <c r="C110" s="55"/>
      <c r="D110" s="55"/>
      <c r="E110" s="55"/>
      <c r="F110" s="56"/>
      <c r="G110" s="29"/>
    </row>
    <row r="111" spans="1:7" ht="23">
      <c r="A111" s="55" t="s">
        <v>325</v>
      </c>
      <c r="B111" s="55"/>
      <c r="C111" s="55"/>
      <c r="D111" s="55"/>
      <c r="E111" s="55"/>
      <c r="F111" s="56" t="s">
        <v>324</v>
      </c>
      <c r="G111" s="29"/>
    </row>
    <row r="112" spans="1:7" ht="23">
      <c r="A112" s="55"/>
      <c r="B112" s="55"/>
      <c r="C112" s="55"/>
      <c r="D112" s="55"/>
      <c r="E112" s="55"/>
      <c r="F112" s="56"/>
      <c r="G112" s="29"/>
    </row>
    <row r="113" spans="1:7" ht="23">
      <c r="A113" s="55" t="s">
        <v>326</v>
      </c>
      <c r="B113" s="55"/>
      <c r="C113" s="55"/>
      <c r="D113" s="55"/>
      <c r="E113" s="55"/>
      <c r="F113" s="56" t="s">
        <v>324</v>
      </c>
      <c r="G113" s="29"/>
    </row>
    <row r="114" spans="1:7" ht="23">
      <c r="A114" s="55"/>
      <c r="B114" s="55"/>
      <c r="C114" s="55"/>
      <c r="D114" s="55"/>
      <c r="E114" s="55"/>
      <c r="F114" s="56"/>
      <c r="G114" s="29"/>
    </row>
    <row r="115" spans="1:7" ht="23">
      <c r="A115" s="55" t="s">
        <v>327</v>
      </c>
      <c r="B115" s="55"/>
      <c r="C115" s="55"/>
      <c r="D115" s="55"/>
      <c r="E115" s="55"/>
      <c r="F115" s="56" t="s">
        <v>324</v>
      </c>
      <c r="G115" s="29"/>
    </row>
    <row r="116" spans="1:7" ht="23">
      <c r="A116" s="55"/>
      <c r="B116" s="55"/>
      <c r="C116" s="55"/>
      <c r="D116" s="55"/>
      <c r="E116" s="55"/>
      <c r="F116" s="56"/>
      <c r="G116" s="29"/>
    </row>
    <row r="117" spans="1:7" ht="23">
      <c r="A117" s="55" t="s">
        <v>328</v>
      </c>
      <c r="B117" s="55"/>
      <c r="C117" s="55"/>
      <c r="D117" s="55"/>
      <c r="E117" s="55"/>
      <c r="F117" s="56" t="s">
        <v>324</v>
      </c>
      <c r="G117" s="29"/>
    </row>
    <row r="118" spans="1:7" ht="23">
      <c r="A118" s="55"/>
      <c r="B118" s="55"/>
      <c r="C118" s="55"/>
      <c r="D118" s="55"/>
      <c r="E118" s="55"/>
      <c r="F118" s="56"/>
      <c r="G118" s="29"/>
    </row>
    <row r="119" spans="1:7" ht="23">
      <c r="A119" s="55" t="s">
        <v>329</v>
      </c>
      <c r="B119" s="55"/>
      <c r="C119" s="55"/>
      <c r="D119" s="55"/>
      <c r="E119" s="55"/>
      <c r="F119" s="56" t="s">
        <v>324</v>
      </c>
      <c r="G119" s="29"/>
    </row>
    <row r="120" spans="1:7" ht="23">
      <c r="A120" s="55"/>
      <c r="B120" s="55"/>
      <c r="C120" s="55"/>
      <c r="D120" s="55"/>
      <c r="E120" s="55"/>
      <c r="F120" s="56"/>
      <c r="G120" s="29"/>
    </row>
    <row r="121" spans="1:7" ht="23">
      <c r="A121" s="55" t="s">
        <v>330</v>
      </c>
      <c r="B121" s="55"/>
      <c r="C121" s="55"/>
      <c r="D121" s="55"/>
      <c r="E121" s="55"/>
      <c r="F121" s="56" t="s">
        <v>324</v>
      </c>
      <c r="G121" s="29"/>
    </row>
    <row r="122" spans="1:7" ht="23">
      <c r="A122" s="55"/>
      <c r="B122" s="55"/>
      <c r="C122" s="55"/>
      <c r="D122" s="55"/>
      <c r="E122" s="55"/>
      <c r="F122" s="56"/>
      <c r="G122" s="29"/>
    </row>
    <row r="123" spans="1:7" ht="23">
      <c r="A123" s="55" t="s">
        <v>331</v>
      </c>
      <c r="B123" s="55"/>
      <c r="C123" s="55"/>
      <c r="D123" s="55"/>
      <c r="E123" s="55"/>
      <c r="F123" s="56" t="s">
        <v>324</v>
      </c>
      <c r="G123" s="29"/>
    </row>
    <row r="124" spans="1:7" ht="23">
      <c r="A124" s="55"/>
      <c r="B124" s="55"/>
      <c r="C124" s="55"/>
      <c r="D124" s="55"/>
      <c r="E124" s="55"/>
      <c r="F124" s="56"/>
      <c r="G124" s="29"/>
    </row>
    <row r="125" spans="1:7" ht="23">
      <c r="A125" s="55" t="s">
        <v>332</v>
      </c>
      <c r="B125" s="55"/>
      <c r="C125" s="55"/>
      <c r="D125" s="55"/>
      <c r="E125" s="55"/>
      <c r="F125" s="56" t="s">
        <v>324</v>
      </c>
      <c r="G125" s="29"/>
    </row>
    <row r="126" spans="1:7" ht="23">
      <c r="A126" s="55"/>
      <c r="B126" s="55"/>
      <c r="C126" s="55"/>
      <c r="D126" s="55"/>
      <c r="E126" s="55"/>
      <c r="F126" s="56"/>
      <c r="G126" s="29"/>
    </row>
    <row r="127" spans="1:7" ht="23">
      <c r="A127" s="55" t="s">
        <v>333</v>
      </c>
      <c r="B127" s="55"/>
      <c r="C127" s="55"/>
      <c r="D127" s="55"/>
      <c r="E127" s="55"/>
      <c r="F127" s="56" t="s">
        <v>324</v>
      </c>
      <c r="G127" s="29"/>
    </row>
    <row r="128" spans="1:7" ht="23">
      <c r="A128" s="55"/>
      <c r="B128" s="55"/>
      <c r="C128" s="55"/>
      <c r="D128" s="55"/>
      <c r="E128" s="241" t="s">
        <v>50</v>
      </c>
      <c r="F128" s="241"/>
      <c r="G128" s="29"/>
    </row>
    <row r="129" spans="1:7" ht="18">
      <c r="A129" s="29"/>
      <c r="B129" s="29"/>
      <c r="C129" s="29"/>
      <c r="D129" s="29"/>
      <c r="G129" s="29"/>
    </row>
    <row r="130" spans="1:7" ht="18">
      <c r="A130" s="29"/>
      <c r="B130" s="29"/>
      <c r="C130" s="29"/>
      <c r="D130" s="29"/>
      <c r="F130" s="29"/>
      <c r="G130" s="29"/>
    </row>
    <row r="142" spans="1:7" ht="22.5">
      <c r="F142" s="53" t="s">
        <v>334</v>
      </c>
    </row>
    <row r="143" spans="1:7" ht="22.5">
      <c r="F143" s="53" t="s">
        <v>306</v>
      </c>
    </row>
  </sheetData>
  <mergeCells count="2">
    <mergeCell ref="A3:J3"/>
    <mergeCell ref="E128:F12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CF39-1D85-476A-A411-EC3EFB6770DB}">
  <dimension ref="A1:W104"/>
  <sheetViews>
    <sheetView view="pageBreakPreview" topLeftCell="A4" zoomScale="60" zoomScaleNormal="100" workbookViewId="0">
      <selection activeCell="E17" sqref="E17"/>
    </sheetView>
  </sheetViews>
  <sheetFormatPr defaultColWidth="9.1796875" defaultRowHeight="15.5"/>
  <cols>
    <col min="1" max="1" width="19.81640625" style="33" customWidth="1"/>
    <col min="2" max="2" width="22.7265625" style="33" customWidth="1"/>
    <col min="3" max="3" width="21" style="33" customWidth="1"/>
    <col min="4" max="4" width="22.7265625" style="33" customWidth="1"/>
    <col min="5" max="5" width="27.26953125" style="33" customWidth="1"/>
    <col min="6" max="6" width="17" style="33" customWidth="1"/>
    <col min="7" max="7" width="13.7265625" style="33" customWidth="1"/>
    <col min="8" max="8" width="11.1796875" style="33" customWidth="1"/>
    <col min="9" max="9" width="13.7265625" style="33" customWidth="1"/>
    <col min="10" max="10" width="13.81640625" style="33" customWidth="1"/>
    <col min="11" max="11" width="10.453125" style="33" customWidth="1"/>
    <col min="12" max="12" width="8.81640625" style="33" customWidth="1"/>
    <col min="13" max="13" width="10.453125" style="33" customWidth="1"/>
    <col min="14" max="14" width="10.1796875" style="33" customWidth="1"/>
    <col min="15" max="16" width="9.1796875" style="33"/>
    <col min="17" max="17" width="17" style="33" customWidth="1"/>
    <col min="18" max="18" width="9.1796875" style="33"/>
    <col min="19" max="19" width="9.453125" style="33" customWidth="1"/>
    <col min="20" max="20" width="9.26953125" style="33" customWidth="1"/>
    <col min="21" max="16384" width="9.1796875" style="33"/>
  </cols>
  <sheetData>
    <row r="1" spans="1:6" ht="20.5">
      <c r="A1" s="31" t="s">
        <v>335</v>
      </c>
      <c r="B1" s="32"/>
      <c r="C1" s="32"/>
      <c r="D1" s="32"/>
      <c r="E1" s="32"/>
      <c r="F1" s="32"/>
    </row>
    <row r="2" spans="1:6" ht="20.5">
      <c r="A2" s="32" t="s">
        <v>336</v>
      </c>
      <c r="B2" s="32"/>
      <c r="C2" s="32"/>
      <c r="D2" s="32"/>
      <c r="E2" s="32"/>
      <c r="F2" s="32"/>
    </row>
    <row r="3" spans="1:6" ht="20.5">
      <c r="A3" s="32"/>
      <c r="B3" s="32"/>
      <c r="C3" s="32"/>
      <c r="D3" s="32"/>
      <c r="E3" s="32"/>
      <c r="F3" s="32"/>
    </row>
    <row r="4" spans="1:6" ht="20.5">
      <c r="A4" s="66" t="s">
        <v>337</v>
      </c>
      <c r="B4" s="51" t="s">
        <v>20</v>
      </c>
      <c r="C4" s="51" t="s">
        <v>338</v>
      </c>
      <c r="D4" s="72" t="s">
        <v>339</v>
      </c>
      <c r="E4" s="51" t="s">
        <v>340</v>
      </c>
      <c r="F4" s="32"/>
    </row>
    <row r="5" spans="1:6" ht="20.5">
      <c r="A5" s="66"/>
      <c r="B5" s="73" t="s">
        <v>262</v>
      </c>
      <c r="C5" s="73" t="s">
        <v>262</v>
      </c>
      <c r="D5" s="74" t="s">
        <v>262</v>
      </c>
      <c r="E5" s="73" t="s">
        <v>262</v>
      </c>
      <c r="F5" s="32"/>
    </row>
    <row r="6" spans="1:6" ht="20.5">
      <c r="A6" s="75">
        <v>45108</v>
      </c>
      <c r="B6" s="76">
        <v>3430</v>
      </c>
      <c r="C6" s="76">
        <v>2400</v>
      </c>
      <c r="D6" s="76">
        <f>B6-C6</f>
        <v>1030</v>
      </c>
      <c r="E6" s="73">
        <v>310</v>
      </c>
      <c r="F6" s="32"/>
    </row>
    <row r="7" spans="1:6" ht="20.5">
      <c r="A7" s="75">
        <v>45139</v>
      </c>
      <c r="B7" s="76">
        <v>3780</v>
      </c>
      <c r="C7" s="76">
        <v>2830</v>
      </c>
      <c r="D7" s="76">
        <f t="shared" ref="D7:D11" si="0">B7-C7</f>
        <v>950</v>
      </c>
      <c r="E7" s="73">
        <v>280</v>
      </c>
      <c r="F7" s="32"/>
    </row>
    <row r="8" spans="1:6" ht="20.5">
      <c r="A8" s="75">
        <v>45170</v>
      </c>
      <c r="B8" s="76">
        <v>3200</v>
      </c>
      <c r="C8" s="76">
        <v>2300</v>
      </c>
      <c r="D8" s="76">
        <f t="shared" si="0"/>
        <v>900</v>
      </c>
      <c r="E8" s="73">
        <f t="shared" ref="E8:E11" si="1">D8*30%</f>
        <v>270</v>
      </c>
      <c r="F8" s="32"/>
    </row>
    <row r="9" spans="1:6" ht="20.5">
      <c r="A9" s="75">
        <v>45200</v>
      </c>
      <c r="B9" s="76">
        <v>3650</v>
      </c>
      <c r="C9" s="76">
        <v>2740</v>
      </c>
      <c r="D9" s="76">
        <f t="shared" si="0"/>
        <v>910</v>
      </c>
      <c r="E9" s="73">
        <v>275</v>
      </c>
      <c r="F9" s="32"/>
    </row>
    <row r="10" spans="1:6" ht="20.5">
      <c r="A10" s="75">
        <v>45231</v>
      </c>
      <c r="B10" s="76">
        <v>3920</v>
      </c>
      <c r="C10" s="76">
        <v>2900</v>
      </c>
      <c r="D10" s="76">
        <f t="shared" si="0"/>
        <v>1020</v>
      </c>
      <c r="E10" s="73">
        <v>305</v>
      </c>
      <c r="F10" s="32"/>
    </row>
    <row r="11" spans="1:6" ht="20.5">
      <c r="A11" s="75">
        <v>45261</v>
      </c>
      <c r="B11" s="76">
        <v>4100</v>
      </c>
      <c r="C11" s="76">
        <v>3100</v>
      </c>
      <c r="D11" s="76">
        <f t="shared" si="0"/>
        <v>1000</v>
      </c>
      <c r="E11" s="73">
        <f t="shared" si="1"/>
        <v>300</v>
      </c>
      <c r="F11" s="32"/>
    </row>
    <row r="12" spans="1:6" ht="20.5">
      <c r="A12" s="32"/>
      <c r="B12" s="76"/>
      <c r="C12" s="76"/>
      <c r="D12" s="76"/>
      <c r="E12" s="32"/>
      <c r="F12" s="32"/>
    </row>
    <row r="13" spans="1:6" ht="65.150000000000006" customHeight="1">
      <c r="A13" s="66" t="s">
        <v>337</v>
      </c>
      <c r="B13" s="77" t="s">
        <v>341</v>
      </c>
      <c r="C13" s="78" t="s">
        <v>268</v>
      </c>
      <c r="D13" s="51" t="s">
        <v>0</v>
      </c>
      <c r="E13" s="51" t="s">
        <v>342</v>
      </c>
      <c r="F13" s="51" t="s">
        <v>343</v>
      </c>
    </row>
    <row r="14" spans="1:6" ht="20.5">
      <c r="A14" s="32"/>
      <c r="B14" s="74" t="s">
        <v>262</v>
      </c>
      <c r="C14" s="73" t="s">
        <v>262</v>
      </c>
      <c r="D14" s="73" t="s">
        <v>262</v>
      </c>
      <c r="E14" s="73" t="s">
        <v>262</v>
      </c>
      <c r="F14" s="73" t="s">
        <v>262</v>
      </c>
    </row>
    <row r="15" spans="1:6" ht="20.5">
      <c r="A15" s="75">
        <v>45108</v>
      </c>
      <c r="B15" s="74">
        <v>720</v>
      </c>
      <c r="C15" s="73">
        <v>290</v>
      </c>
      <c r="D15" s="73">
        <v>430</v>
      </c>
      <c r="E15" s="73">
        <v>120</v>
      </c>
      <c r="F15" s="73">
        <v>310</v>
      </c>
    </row>
    <row r="16" spans="1:6" ht="20.5">
      <c r="A16" s="75">
        <v>45139</v>
      </c>
      <c r="B16" s="74">
        <v>670</v>
      </c>
      <c r="C16" s="73">
        <v>270</v>
      </c>
      <c r="D16" s="73">
        <v>400</v>
      </c>
      <c r="E16" s="73">
        <v>115</v>
      </c>
      <c r="F16" s="73">
        <v>285</v>
      </c>
    </row>
    <row r="17" spans="1:6" ht="20.5">
      <c r="A17" s="75">
        <v>45170</v>
      </c>
      <c r="B17" s="74">
        <v>630</v>
      </c>
      <c r="C17" s="73">
        <v>250</v>
      </c>
      <c r="D17" s="73">
        <v>380</v>
      </c>
      <c r="E17" s="73">
        <v>112</v>
      </c>
      <c r="F17" s="73">
        <v>268</v>
      </c>
    </row>
    <row r="18" spans="1:6" ht="20.5">
      <c r="A18" s="75">
        <v>45200</v>
      </c>
      <c r="B18" s="74">
        <v>635</v>
      </c>
      <c r="C18" s="73">
        <v>250</v>
      </c>
      <c r="D18" s="73">
        <v>385</v>
      </c>
      <c r="E18" s="73">
        <v>110</v>
      </c>
      <c r="F18" s="73">
        <v>275</v>
      </c>
    </row>
    <row r="19" spans="1:6" ht="20.5">
      <c r="A19" s="75">
        <v>45231</v>
      </c>
      <c r="B19" s="74">
        <v>715</v>
      </c>
      <c r="C19" s="73">
        <v>280</v>
      </c>
      <c r="D19" s="73">
        <v>435</v>
      </c>
      <c r="E19" s="73">
        <v>98</v>
      </c>
      <c r="F19" s="73">
        <v>337</v>
      </c>
    </row>
    <row r="20" spans="1:6" ht="20.5">
      <c r="A20" s="75">
        <v>45261</v>
      </c>
      <c r="B20" s="74">
        <v>700</v>
      </c>
      <c r="C20" s="73">
        <v>290</v>
      </c>
      <c r="D20" s="73">
        <v>410</v>
      </c>
      <c r="E20" s="73">
        <v>95</v>
      </c>
      <c r="F20" s="73">
        <v>315</v>
      </c>
    </row>
    <row r="21" spans="1:6" ht="20.5">
      <c r="A21" s="32"/>
      <c r="B21" s="32"/>
      <c r="C21" s="32"/>
      <c r="D21" s="32"/>
      <c r="E21" s="32"/>
      <c r="F21" s="32"/>
    </row>
    <row r="22" spans="1:6" ht="20.5">
      <c r="A22" s="32"/>
      <c r="B22" s="32"/>
      <c r="C22" s="32"/>
      <c r="D22" s="32"/>
      <c r="E22" s="32"/>
      <c r="F22" s="32"/>
    </row>
    <row r="23" spans="1:6" ht="20.5">
      <c r="A23" s="66" t="s">
        <v>344</v>
      </c>
      <c r="B23" s="72" t="s">
        <v>32</v>
      </c>
      <c r="C23" s="72" t="s">
        <v>96</v>
      </c>
      <c r="D23" s="51" t="s">
        <v>345</v>
      </c>
      <c r="E23" s="51" t="s">
        <v>346</v>
      </c>
      <c r="F23" s="32"/>
    </row>
    <row r="24" spans="1:6" ht="20.5">
      <c r="A24" s="66" t="s">
        <v>337</v>
      </c>
      <c r="B24" s="74" t="s">
        <v>262</v>
      </c>
      <c r="C24" s="74" t="s">
        <v>262</v>
      </c>
      <c r="D24" s="73" t="s">
        <v>262</v>
      </c>
      <c r="E24" s="73" t="s">
        <v>262</v>
      </c>
      <c r="F24" s="32"/>
    </row>
    <row r="25" spans="1:6" ht="20.5">
      <c r="A25" s="75">
        <v>45108</v>
      </c>
      <c r="B25" s="79">
        <v>980</v>
      </c>
      <c r="C25" s="79">
        <v>1200</v>
      </c>
      <c r="D25" s="74">
        <v>720</v>
      </c>
      <c r="E25" s="73">
        <v>150</v>
      </c>
      <c r="F25" s="32"/>
    </row>
    <row r="26" spans="1:6" ht="20.5">
      <c r="A26" s="75">
        <v>45139</v>
      </c>
      <c r="B26" s="79">
        <v>1020</v>
      </c>
      <c r="C26" s="79">
        <v>1230</v>
      </c>
      <c r="D26" s="74">
        <v>800</v>
      </c>
      <c r="E26" s="73">
        <v>230</v>
      </c>
      <c r="F26" s="32"/>
    </row>
    <row r="27" spans="1:6" ht="20.5">
      <c r="A27" s="75">
        <v>45170</v>
      </c>
      <c r="B27" s="79">
        <v>960</v>
      </c>
      <c r="C27" s="79">
        <v>1190</v>
      </c>
      <c r="D27" s="74">
        <v>950</v>
      </c>
      <c r="E27" s="73">
        <v>180</v>
      </c>
      <c r="F27" s="32"/>
    </row>
    <row r="28" spans="1:6" ht="20.5">
      <c r="A28" s="75">
        <v>45200</v>
      </c>
      <c r="B28" s="79">
        <v>910</v>
      </c>
      <c r="C28" s="79">
        <v>1320</v>
      </c>
      <c r="D28" s="79">
        <v>1000</v>
      </c>
      <c r="E28" s="73">
        <v>90</v>
      </c>
      <c r="F28" s="32"/>
    </row>
    <row r="29" spans="1:6" ht="20.5">
      <c r="A29" s="75">
        <v>45231</v>
      </c>
      <c r="B29" s="79">
        <v>1030</v>
      </c>
      <c r="C29" s="79">
        <v>1280</v>
      </c>
      <c r="D29" s="74">
        <v>850</v>
      </c>
      <c r="E29" s="73">
        <v>100</v>
      </c>
      <c r="F29" s="32"/>
    </row>
    <row r="30" spans="1:6" ht="20.5">
      <c r="A30" s="75">
        <v>45261</v>
      </c>
      <c r="B30" s="79">
        <v>1000</v>
      </c>
      <c r="C30" s="79">
        <v>1340</v>
      </c>
      <c r="D30" s="74">
        <v>900</v>
      </c>
      <c r="E30" s="73">
        <v>80</v>
      </c>
      <c r="F30" s="32"/>
    </row>
    <row r="31" spans="1:6" ht="20.5">
      <c r="A31" s="73"/>
      <c r="B31" s="73"/>
      <c r="C31" s="73"/>
      <c r="D31" s="73"/>
      <c r="E31" s="73"/>
      <c r="F31" s="32"/>
    </row>
    <row r="32" spans="1:6" ht="20.5">
      <c r="A32" s="32"/>
      <c r="B32" s="32"/>
      <c r="C32" s="32"/>
      <c r="D32" s="32"/>
      <c r="E32" s="32"/>
      <c r="F32" s="32"/>
    </row>
    <row r="33" spans="1:9" ht="20.5">
      <c r="A33" s="31" t="s">
        <v>47</v>
      </c>
      <c r="B33" s="32"/>
      <c r="C33" s="32"/>
      <c r="D33" s="32"/>
      <c r="E33" s="32"/>
      <c r="F33" s="32"/>
    </row>
    <row r="34" spans="1:9" ht="20.5">
      <c r="A34" s="32" t="s">
        <v>347</v>
      </c>
      <c r="B34" s="32"/>
      <c r="C34" s="32"/>
      <c r="D34" s="32"/>
      <c r="E34" s="32"/>
      <c r="F34" s="32"/>
    </row>
    <row r="35" spans="1:9" ht="20.5">
      <c r="A35" s="32"/>
      <c r="B35" s="32"/>
      <c r="C35" s="32"/>
      <c r="D35" s="32"/>
      <c r="E35" s="32"/>
      <c r="F35" s="32"/>
    </row>
    <row r="36" spans="1:9" ht="20.5">
      <c r="A36" s="32" t="s">
        <v>348</v>
      </c>
      <c r="B36" s="32"/>
      <c r="C36" s="32"/>
      <c r="D36" s="32"/>
      <c r="E36" s="32"/>
      <c r="F36" s="32"/>
    </row>
    <row r="37" spans="1:9" ht="20.5">
      <c r="A37" s="32"/>
      <c r="B37" s="32"/>
      <c r="C37" s="32"/>
      <c r="D37" s="32"/>
      <c r="E37" s="32"/>
      <c r="F37" s="32"/>
    </row>
    <row r="38" spans="1:9" ht="20.5">
      <c r="A38" s="32" t="s">
        <v>349</v>
      </c>
      <c r="B38" s="32"/>
      <c r="C38" s="32"/>
      <c r="D38" s="32"/>
      <c r="E38" s="32"/>
      <c r="F38" s="32"/>
    </row>
    <row r="39" spans="1:9" ht="20.5">
      <c r="A39" s="32"/>
      <c r="B39" s="32"/>
      <c r="C39" s="32"/>
      <c r="D39" s="32"/>
      <c r="E39" s="32"/>
      <c r="F39" s="32"/>
    </row>
    <row r="40" spans="1:9" ht="20.5">
      <c r="A40" s="32" t="s">
        <v>350</v>
      </c>
      <c r="B40" s="32"/>
      <c r="C40" s="32"/>
      <c r="D40" s="32"/>
      <c r="E40" s="32"/>
      <c r="F40" s="32"/>
    </row>
    <row r="41" spans="1:9" ht="20.5">
      <c r="A41" s="32"/>
      <c r="B41" s="32"/>
      <c r="C41" s="32"/>
      <c r="D41" s="32"/>
      <c r="E41" s="32"/>
      <c r="F41" s="32"/>
    </row>
    <row r="42" spans="1:9" ht="20.5">
      <c r="A42" s="32" t="s">
        <v>351</v>
      </c>
      <c r="B42" s="32"/>
      <c r="C42" s="32"/>
      <c r="D42" s="32"/>
      <c r="E42" s="32"/>
      <c r="F42" s="32"/>
    </row>
    <row r="43" spans="1:9" ht="20.5">
      <c r="A43" s="32"/>
      <c r="B43" s="32"/>
      <c r="C43" s="32"/>
      <c r="D43" s="32"/>
      <c r="E43" s="32"/>
      <c r="F43" s="32"/>
    </row>
    <row r="44" spans="1:9" ht="20.5">
      <c r="A44" s="32" t="s">
        <v>352</v>
      </c>
      <c r="B44" s="32"/>
      <c r="C44" s="32"/>
      <c r="D44" s="32"/>
      <c r="E44" s="32"/>
      <c r="F44" s="32"/>
    </row>
    <row r="45" spans="1:9" ht="20.5">
      <c r="A45" s="32"/>
      <c r="B45" s="32"/>
      <c r="C45" s="32"/>
      <c r="D45" s="32"/>
      <c r="E45" s="32"/>
      <c r="F45" s="32"/>
    </row>
    <row r="46" spans="1:9" ht="20.5">
      <c r="A46" s="32" t="s">
        <v>353</v>
      </c>
      <c r="B46" s="32"/>
      <c r="C46" s="32"/>
      <c r="D46" s="32"/>
      <c r="E46" s="32"/>
      <c r="F46" s="32"/>
      <c r="G46" s="32" t="s">
        <v>354</v>
      </c>
    </row>
    <row r="47" spans="1:9" ht="20.5">
      <c r="A47" s="32"/>
      <c r="B47" s="32"/>
      <c r="C47" s="32"/>
      <c r="D47" s="32"/>
      <c r="E47" s="32"/>
      <c r="F47" s="32"/>
    </row>
    <row r="48" spans="1:9" ht="20.5">
      <c r="A48" s="32" t="s">
        <v>355</v>
      </c>
      <c r="B48" s="32"/>
      <c r="C48" s="32"/>
      <c r="D48" s="32"/>
      <c r="E48" s="32"/>
      <c r="F48" s="32"/>
      <c r="I48" s="35"/>
    </row>
    <row r="49" spans="1:23" ht="30.65" customHeight="1">
      <c r="A49" s="32" t="s">
        <v>356</v>
      </c>
      <c r="B49" s="32"/>
      <c r="C49" s="32"/>
      <c r="E49" s="80"/>
      <c r="F49" s="80"/>
      <c r="G49" s="81" t="s">
        <v>324</v>
      </c>
      <c r="J49" s="82"/>
      <c r="K49" s="82"/>
      <c r="L49" s="82"/>
      <c r="M49" s="82"/>
      <c r="N49" s="82"/>
      <c r="O49" s="82"/>
      <c r="P49" s="83"/>
      <c r="R49" s="82"/>
      <c r="S49" s="82"/>
      <c r="T49" s="82"/>
      <c r="U49" s="82"/>
      <c r="V49" s="82"/>
      <c r="W49" s="82"/>
    </row>
    <row r="50" spans="1:23" ht="20.149999999999999" customHeight="1">
      <c r="A50" s="32"/>
      <c r="B50" s="32"/>
      <c r="C50" s="32"/>
      <c r="E50" s="80"/>
      <c r="F50" s="80"/>
      <c r="G50" s="81"/>
      <c r="J50" s="82"/>
      <c r="K50" s="82"/>
      <c r="L50" s="82"/>
      <c r="M50" s="82"/>
      <c r="N50" s="82"/>
      <c r="O50" s="82"/>
      <c r="P50" s="83"/>
      <c r="R50" s="82"/>
      <c r="S50" s="82"/>
      <c r="T50" s="82"/>
      <c r="U50" s="82"/>
      <c r="V50" s="82"/>
      <c r="W50" s="82"/>
    </row>
    <row r="51" spans="1:23" ht="20.5">
      <c r="A51" s="32" t="s">
        <v>357</v>
      </c>
      <c r="B51" s="84"/>
      <c r="C51" s="84"/>
      <c r="E51" s="84"/>
      <c r="F51" s="84"/>
      <c r="G51" s="81" t="s">
        <v>324</v>
      </c>
      <c r="J51" s="85"/>
      <c r="K51" s="85"/>
      <c r="L51" s="85"/>
      <c r="M51" s="85"/>
      <c r="N51" s="85"/>
      <c r="O51" s="85"/>
      <c r="P51" s="85"/>
    </row>
    <row r="52" spans="1:23" ht="20.5">
      <c r="A52" s="32"/>
      <c r="B52" s="84"/>
      <c r="C52" s="84"/>
      <c r="E52" s="84"/>
      <c r="F52" s="84"/>
      <c r="G52" s="81"/>
      <c r="J52" s="85"/>
      <c r="K52" s="85"/>
      <c r="L52" s="85"/>
      <c r="M52" s="85"/>
      <c r="N52" s="85"/>
      <c r="O52" s="85"/>
      <c r="P52" s="85"/>
    </row>
    <row r="53" spans="1:23" ht="20.5">
      <c r="A53" s="32" t="s">
        <v>358</v>
      </c>
      <c r="B53" s="86"/>
      <c r="C53" s="86"/>
      <c r="E53" s="86"/>
      <c r="F53" s="86"/>
      <c r="G53" s="81" t="s">
        <v>324</v>
      </c>
      <c r="J53" s="87"/>
      <c r="K53" s="87"/>
      <c r="L53" s="87"/>
      <c r="M53" s="87"/>
      <c r="N53" s="87"/>
      <c r="O53" s="87"/>
      <c r="P53" s="87"/>
    </row>
    <row r="54" spans="1:23" ht="20.5">
      <c r="A54" s="32"/>
      <c r="B54" s="86"/>
      <c r="C54" s="86"/>
      <c r="E54" s="86"/>
      <c r="F54" s="86"/>
      <c r="G54" s="81"/>
      <c r="J54" s="87"/>
      <c r="K54" s="87"/>
      <c r="L54" s="87"/>
      <c r="M54" s="87"/>
      <c r="N54" s="87"/>
      <c r="O54" s="87"/>
      <c r="P54" s="87"/>
    </row>
    <row r="55" spans="1:23" ht="20.5">
      <c r="A55" s="32" t="s">
        <v>359</v>
      </c>
      <c r="B55" s="84"/>
      <c r="C55" s="84"/>
      <c r="E55" s="84"/>
      <c r="F55" s="80"/>
      <c r="G55" s="81" t="s">
        <v>324</v>
      </c>
      <c r="J55" s="85"/>
      <c r="K55" s="85"/>
      <c r="L55" s="85"/>
      <c r="M55" s="85"/>
      <c r="N55" s="85"/>
      <c r="O55" s="85"/>
      <c r="P55" s="85"/>
    </row>
    <row r="56" spans="1:23" ht="20.5">
      <c r="A56" s="32"/>
      <c r="B56" s="84"/>
      <c r="C56" s="84"/>
      <c r="E56" s="84"/>
      <c r="F56" s="80"/>
      <c r="G56" s="81"/>
      <c r="J56" s="85"/>
      <c r="K56" s="85"/>
      <c r="L56" s="85"/>
      <c r="M56" s="85"/>
      <c r="N56" s="85"/>
      <c r="O56" s="85"/>
      <c r="P56" s="85"/>
    </row>
    <row r="57" spans="1:23" ht="20.5">
      <c r="A57" s="32" t="s">
        <v>360</v>
      </c>
      <c r="B57" s="86"/>
      <c r="C57" s="86"/>
      <c r="E57" s="86"/>
      <c r="F57" s="80"/>
      <c r="G57" s="81" t="s">
        <v>324</v>
      </c>
      <c r="J57" s="87"/>
      <c r="K57" s="87"/>
      <c r="L57" s="87"/>
      <c r="M57" s="87"/>
      <c r="N57" s="87"/>
      <c r="O57" s="87"/>
      <c r="P57" s="87"/>
    </row>
    <row r="58" spans="1:23" ht="20.5">
      <c r="A58" s="32"/>
      <c r="B58" s="86"/>
      <c r="C58" s="86"/>
      <c r="E58" s="86"/>
      <c r="F58" s="80"/>
      <c r="G58" s="81"/>
      <c r="J58" s="87"/>
      <c r="K58" s="87"/>
      <c r="L58" s="87"/>
      <c r="M58" s="87"/>
      <c r="N58" s="87"/>
      <c r="O58" s="87"/>
      <c r="P58" s="87"/>
    </row>
    <row r="59" spans="1:23" ht="20.5">
      <c r="A59" s="32" t="s">
        <v>361</v>
      </c>
      <c r="B59" s="84"/>
      <c r="C59" s="84"/>
      <c r="E59" s="84"/>
      <c r="F59" s="80"/>
      <c r="G59" s="81" t="s">
        <v>324</v>
      </c>
      <c r="J59" s="85"/>
      <c r="K59" s="85"/>
      <c r="L59" s="85"/>
      <c r="M59" s="85"/>
      <c r="N59" s="85"/>
      <c r="O59" s="85"/>
      <c r="P59" s="85"/>
    </row>
    <row r="60" spans="1:23" ht="20.5">
      <c r="A60" s="32"/>
      <c r="B60" s="86"/>
      <c r="C60" s="86"/>
      <c r="D60" s="86"/>
      <c r="E60" s="86"/>
      <c r="G60" s="88" t="s">
        <v>50</v>
      </c>
      <c r="H60" s="87"/>
      <c r="J60" s="87"/>
      <c r="K60" s="87"/>
      <c r="L60" s="87"/>
      <c r="M60" s="87"/>
      <c r="N60" s="87"/>
      <c r="O60" s="87"/>
      <c r="P60" s="87"/>
    </row>
    <row r="61" spans="1:23" ht="20.5">
      <c r="A61" s="32"/>
      <c r="B61" s="84"/>
      <c r="C61" s="84"/>
      <c r="D61" s="84"/>
      <c r="E61" s="84"/>
      <c r="G61" s="85"/>
      <c r="H61" s="85"/>
      <c r="J61" s="85"/>
      <c r="K61" s="85"/>
      <c r="L61" s="85"/>
      <c r="M61" s="85"/>
      <c r="N61" s="85"/>
      <c r="O61" s="85"/>
      <c r="P61" s="85"/>
    </row>
    <row r="62" spans="1:23" ht="20.5">
      <c r="A62" s="32"/>
      <c r="B62" s="86"/>
      <c r="C62" s="86"/>
      <c r="D62" s="86"/>
      <c r="E62" s="86"/>
      <c r="F62" s="80"/>
      <c r="G62" s="87"/>
      <c r="H62" s="87"/>
      <c r="J62" s="87"/>
      <c r="K62" s="87"/>
      <c r="L62" s="87"/>
      <c r="M62" s="87"/>
      <c r="N62" s="87"/>
      <c r="O62" s="87"/>
      <c r="P62" s="87"/>
    </row>
    <row r="63" spans="1:23" ht="20.5">
      <c r="A63" s="32"/>
      <c r="B63" s="89"/>
      <c r="C63" s="89"/>
      <c r="D63" s="89"/>
      <c r="E63" s="89"/>
      <c r="G63" s="66" t="s">
        <v>362</v>
      </c>
      <c r="H63" s="90"/>
      <c r="J63" s="90"/>
      <c r="K63" s="90"/>
      <c r="L63" s="90"/>
      <c r="M63" s="90"/>
      <c r="N63" s="90"/>
      <c r="O63" s="90"/>
      <c r="P63" s="90"/>
    </row>
    <row r="64" spans="1:23" ht="20.5">
      <c r="A64" s="32"/>
      <c r="B64" s="32"/>
      <c r="D64" s="32"/>
      <c r="E64" s="32"/>
      <c r="G64" s="66" t="s">
        <v>306</v>
      </c>
    </row>
    <row r="65" spans="1:16">
      <c r="A65" s="35"/>
      <c r="B65" s="82"/>
      <c r="C65" s="82"/>
      <c r="D65" s="82"/>
      <c r="E65" s="82"/>
      <c r="F65" s="82"/>
      <c r="G65" s="82"/>
      <c r="H65" s="83"/>
      <c r="I65" s="35"/>
      <c r="J65" s="82"/>
      <c r="K65" s="82"/>
      <c r="L65" s="82"/>
      <c r="M65" s="82"/>
      <c r="N65" s="82"/>
      <c r="O65" s="82"/>
      <c r="P65" s="83"/>
    </row>
    <row r="66" spans="1:16">
      <c r="B66" s="91"/>
      <c r="C66" s="91"/>
      <c r="D66" s="91"/>
      <c r="E66" s="91"/>
      <c r="F66" s="91"/>
      <c r="G66" s="91"/>
      <c r="H66" s="91"/>
      <c r="J66" s="91"/>
      <c r="K66" s="91"/>
      <c r="L66" s="91"/>
      <c r="M66" s="91"/>
      <c r="N66" s="91"/>
      <c r="O66" s="91"/>
      <c r="P66" s="91"/>
    </row>
    <row r="67" spans="1:16">
      <c r="B67" s="91"/>
      <c r="C67" s="91"/>
      <c r="D67" s="91"/>
      <c r="E67" s="91"/>
      <c r="F67" s="91"/>
      <c r="G67" s="91"/>
      <c r="H67" s="91"/>
      <c r="J67" s="91"/>
      <c r="K67" s="91"/>
      <c r="L67" s="91"/>
      <c r="M67" s="91"/>
      <c r="N67" s="91"/>
      <c r="O67" s="91"/>
      <c r="P67" s="91"/>
    </row>
    <row r="68" spans="1:16">
      <c r="B68" s="91"/>
      <c r="C68" s="91"/>
      <c r="D68" s="91"/>
      <c r="E68" s="91"/>
      <c r="J68" s="91"/>
      <c r="K68" s="91"/>
      <c r="L68" s="91"/>
      <c r="M68" s="91"/>
      <c r="N68" s="91"/>
      <c r="O68" s="91"/>
      <c r="P68" s="91"/>
    </row>
    <row r="69" spans="1:16">
      <c r="B69" s="91"/>
      <c r="C69" s="91"/>
      <c r="D69" s="91"/>
      <c r="E69" s="91"/>
      <c r="J69" s="91"/>
      <c r="K69" s="91"/>
      <c r="L69" s="91"/>
      <c r="M69" s="91"/>
      <c r="N69" s="91"/>
      <c r="O69" s="91"/>
      <c r="P69" s="91"/>
    </row>
    <row r="71" spans="1:16">
      <c r="A71" s="92"/>
      <c r="B71" s="82"/>
      <c r="C71" s="82"/>
      <c r="D71" s="82"/>
      <c r="E71" s="82"/>
      <c r="F71" s="82"/>
      <c r="G71" s="82"/>
    </row>
    <row r="72" spans="1:16">
      <c r="B72" s="85"/>
      <c r="C72" s="85"/>
      <c r="D72" s="85"/>
      <c r="E72" s="85"/>
      <c r="F72" s="85"/>
      <c r="G72" s="85"/>
    </row>
    <row r="73" spans="1:16">
      <c r="B73" s="85"/>
      <c r="C73" s="85"/>
      <c r="D73" s="85"/>
      <c r="E73" s="85"/>
      <c r="F73" s="85"/>
      <c r="G73" s="85"/>
    </row>
    <row r="74" spans="1:16">
      <c r="B74" s="85"/>
      <c r="C74" s="85"/>
      <c r="D74" s="85"/>
      <c r="E74" s="85"/>
      <c r="F74" s="85"/>
      <c r="G74" s="85"/>
    </row>
    <row r="75" spans="1:16">
      <c r="B75" s="85"/>
      <c r="C75" s="85"/>
      <c r="D75" s="85"/>
      <c r="E75" s="85"/>
      <c r="F75" s="85"/>
      <c r="G75" s="85"/>
    </row>
    <row r="76" spans="1:16">
      <c r="A76" s="35"/>
      <c r="B76" s="82"/>
      <c r="C76" s="82"/>
      <c r="D76" s="82"/>
      <c r="E76" s="82"/>
      <c r="F76" s="82"/>
      <c r="G76" s="82"/>
      <c r="I76" s="35"/>
    </row>
    <row r="77" spans="1:16">
      <c r="B77" s="93"/>
      <c r="C77" s="93"/>
      <c r="D77" s="93"/>
      <c r="E77" s="93"/>
      <c r="F77" s="93"/>
      <c r="G77" s="93"/>
      <c r="J77" s="82"/>
      <c r="K77" s="82"/>
      <c r="L77" s="82"/>
      <c r="M77" s="82"/>
      <c r="N77" s="82"/>
      <c r="O77" s="82"/>
    </row>
    <row r="78" spans="1:16">
      <c r="B78" s="93"/>
      <c r="C78" s="93"/>
      <c r="D78" s="93"/>
      <c r="E78" s="93"/>
      <c r="F78" s="93"/>
      <c r="G78" s="93"/>
      <c r="J78" s="85"/>
      <c r="K78" s="85"/>
      <c r="L78" s="85"/>
      <c r="M78" s="85"/>
      <c r="N78" s="85"/>
      <c r="O78" s="85"/>
    </row>
    <row r="79" spans="1:16">
      <c r="B79" s="93"/>
      <c r="C79" s="93"/>
      <c r="D79" s="93"/>
      <c r="E79" s="93"/>
      <c r="F79" s="93"/>
      <c r="G79" s="93"/>
      <c r="J79" s="85"/>
      <c r="K79" s="85"/>
      <c r="L79" s="85"/>
      <c r="M79" s="85"/>
      <c r="N79" s="85"/>
      <c r="O79" s="85"/>
    </row>
    <row r="80" spans="1:16">
      <c r="J80" s="85"/>
      <c r="K80" s="85"/>
      <c r="L80" s="85"/>
      <c r="M80" s="85"/>
      <c r="N80" s="85"/>
      <c r="O80" s="85"/>
    </row>
    <row r="81" spans="1:15">
      <c r="A81" s="35"/>
      <c r="B81" s="82"/>
      <c r="C81" s="82"/>
      <c r="D81" s="82"/>
      <c r="E81" s="82"/>
      <c r="F81" s="82"/>
      <c r="G81" s="82"/>
      <c r="H81" s="83"/>
      <c r="J81" s="85"/>
      <c r="K81" s="85"/>
      <c r="L81" s="85"/>
      <c r="M81" s="85"/>
      <c r="N81" s="85"/>
      <c r="O81" s="85"/>
    </row>
    <row r="84" spans="1:15">
      <c r="B84" s="94"/>
      <c r="C84" s="94"/>
      <c r="D84" s="94"/>
      <c r="E84" s="94"/>
      <c r="F84" s="94"/>
      <c r="G84" s="94"/>
    </row>
    <row r="85" spans="1:15">
      <c r="C85" s="94"/>
      <c r="D85" s="94"/>
      <c r="E85" s="94"/>
      <c r="F85" s="94"/>
      <c r="G85" s="94"/>
    </row>
    <row r="86" spans="1:15" ht="17">
      <c r="B86" s="95"/>
      <c r="C86" s="95"/>
      <c r="D86" s="95"/>
      <c r="E86" s="95"/>
      <c r="F86" s="95"/>
      <c r="G86" s="95"/>
    </row>
    <row r="87" spans="1:15" ht="17">
      <c r="B87" s="95"/>
      <c r="C87" s="95"/>
      <c r="D87" s="95"/>
      <c r="E87" s="95"/>
      <c r="F87" s="95"/>
      <c r="G87" s="95"/>
    </row>
    <row r="88" spans="1:15">
      <c r="B88" s="94"/>
      <c r="C88" s="94"/>
      <c r="D88" s="94"/>
      <c r="E88" s="94"/>
      <c r="F88" s="94"/>
      <c r="G88" s="94"/>
    </row>
    <row r="89" spans="1:15" ht="17">
      <c r="B89" s="96"/>
      <c r="C89" s="96"/>
      <c r="D89" s="96"/>
      <c r="E89" s="96"/>
      <c r="F89" s="96"/>
      <c r="G89" s="96"/>
    </row>
    <row r="91" spans="1:15">
      <c r="B91" s="94"/>
      <c r="C91" s="94"/>
      <c r="D91" s="94"/>
      <c r="E91" s="94"/>
      <c r="F91" s="94"/>
      <c r="G91" s="94"/>
    </row>
    <row r="92" spans="1:15">
      <c r="B92" s="94"/>
      <c r="C92" s="94"/>
      <c r="D92" s="94"/>
      <c r="E92" s="94"/>
      <c r="F92" s="94"/>
      <c r="G92" s="94"/>
    </row>
    <row r="93" spans="1:15" ht="17">
      <c r="B93" s="96"/>
      <c r="C93" s="96"/>
      <c r="D93" s="96"/>
      <c r="E93" s="96"/>
      <c r="F93" s="96"/>
      <c r="G93" s="96"/>
    </row>
    <row r="95" spans="1:15">
      <c r="B95" s="94"/>
      <c r="C95" s="94"/>
      <c r="D95" s="94"/>
      <c r="E95" s="94"/>
      <c r="F95" s="94"/>
      <c r="G95" s="94"/>
    </row>
    <row r="96" spans="1:15">
      <c r="B96" s="94"/>
      <c r="C96" s="94"/>
      <c r="D96" s="94"/>
      <c r="E96" s="94"/>
      <c r="F96" s="94"/>
      <c r="G96" s="94"/>
    </row>
    <row r="97" spans="2:15" ht="17">
      <c r="B97" s="96"/>
      <c r="C97" s="96"/>
      <c r="D97" s="96"/>
      <c r="E97" s="96"/>
      <c r="F97" s="96"/>
      <c r="G97" s="96"/>
    </row>
    <row r="100" spans="2:15">
      <c r="I100" s="35"/>
    </row>
    <row r="101" spans="2:15">
      <c r="J101" s="82"/>
      <c r="K101" s="82"/>
      <c r="L101" s="82"/>
      <c r="M101" s="82"/>
      <c r="N101" s="82"/>
      <c r="O101" s="82"/>
    </row>
    <row r="102" spans="2:15">
      <c r="J102" s="93"/>
      <c r="K102" s="93"/>
      <c r="L102" s="93"/>
      <c r="M102" s="93"/>
      <c r="N102" s="93"/>
      <c r="O102" s="93"/>
    </row>
    <row r="103" spans="2:15">
      <c r="J103" s="93"/>
      <c r="K103" s="93"/>
      <c r="L103" s="93"/>
      <c r="M103" s="93"/>
      <c r="N103" s="93"/>
      <c r="O103" s="93"/>
    </row>
    <row r="104" spans="2:15">
      <c r="J104" s="93"/>
      <c r="K104" s="93"/>
      <c r="L104" s="93"/>
      <c r="M104" s="93"/>
      <c r="N104" s="93"/>
      <c r="O104" s="93"/>
    </row>
  </sheetData>
  <pageMargins left="0.7" right="0.7" top="0.75" bottom="0.75" header="0.3" footer="0.3"/>
  <pageSetup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9D1F82-9B5F-404A-B3F6-761A612995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'BDA APRIL 2024 Q22'!J51:O51</xm:f>
              <xm:sqref>Q51</xm:sqref>
            </x14:sparkline>
            <x14:sparkline>
              <xm:f>'BDA APRIL 2024 Q22'!J52:O52</xm:f>
              <xm:sqref>Q52</xm:sqref>
            </x14:sparkline>
          </x14:sparklines>
        </x14:sparklineGroup>
        <x14:sparklineGroup displayEmptyCellsAs="gap" xr2:uid="{FA011EFB-B074-4646-B643-302EC0DA5A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'BDA APRIL 2024 Q22'!J53:O53</xm:f>
              <xm:sqref>Q53</xm:sqref>
            </x14:sparkline>
            <x14:sparkline>
              <xm:f>'BDA APRIL 2024 Q22'!J54:O54</xm:f>
              <xm:sqref>Q54</xm:sqref>
            </x14:sparkline>
            <x14:sparkline>
              <xm:f>'BDA APRIL 2024 Q22'!J55:O55</xm:f>
              <xm:sqref>Q55</xm:sqref>
            </x14:sparkline>
            <x14:sparkline>
              <xm:f>'BDA APRIL 2024 Q22'!J56:O56</xm:f>
              <xm:sqref>Q56</xm:sqref>
            </x14:sparkline>
            <x14:sparkline>
              <xm:f>'BDA APRIL 2024 Q22'!J57:O57</xm:f>
              <xm:sqref>Q57</xm:sqref>
            </x14:sparkline>
            <x14:sparkline>
              <xm:f>'BDA APRIL 2024 Q22'!J58:O58</xm:f>
              <xm:sqref>Q58</xm:sqref>
            </x14:sparkline>
            <x14:sparkline>
              <xm:f>'BDA APRIL 2024 Q22'!J59:O59</xm:f>
              <xm:sqref>Q59</xm:sqref>
            </x14:sparkline>
            <x14:sparkline>
              <xm:f>'BDA APRIL 2024 Q22'!J60:O60</xm:f>
              <xm:sqref>Q60</xm:sqref>
            </x14:sparkline>
            <x14:sparkline>
              <xm:f>'BDA APRIL 2024 Q22'!J61:O61</xm:f>
              <xm:sqref>Q61</xm:sqref>
            </x14:sparkline>
            <x14:sparkline>
              <xm:f>'BDA APRIL 2024 Q22'!J62:O62</xm:f>
              <xm:sqref>Q62</xm:sqref>
            </x14:sparkline>
            <x14:sparkline>
              <xm:f>'BDA APRIL 2024 Q22'!J63:O63</xm:f>
              <xm:sqref>Q63</xm:sqref>
            </x14:sparkline>
          </x14:sparklines>
        </x14:sparklineGroup>
      </x14:sparklineGroup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D7BB-3D46-480B-95FF-4D64109DCE5B}">
  <dimension ref="A1:N67"/>
  <sheetViews>
    <sheetView topLeftCell="A52" workbookViewId="0">
      <selection activeCell="C60" sqref="C60"/>
    </sheetView>
  </sheetViews>
  <sheetFormatPr defaultColWidth="9.1796875" defaultRowHeight="15.5"/>
  <cols>
    <col min="1" max="1" width="47.81640625" style="34" customWidth="1"/>
    <col min="2" max="2" width="15.7265625" style="34" customWidth="1"/>
    <col min="3" max="3" width="16.81640625" style="34" customWidth="1"/>
    <col min="4" max="4" width="9.1796875" style="34"/>
    <col min="5" max="5" width="10.1796875" style="34" bestFit="1" customWidth="1"/>
    <col min="6" max="7" width="9.1796875" style="34"/>
    <col min="8" max="8" width="29.453125" style="34" bestFit="1" customWidth="1"/>
    <col min="9" max="9" width="10.1796875" style="34" bestFit="1" customWidth="1"/>
    <col min="10" max="10" width="13.26953125" style="34" customWidth="1"/>
    <col min="11" max="16384" width="9.1796875" style="34"/>
  </cols>
  <sheetData>
    <row r="1" spans="1:11">
      <c r="A1" s="104"/>
      <c r="B1" s="104"/>
      <c r="C1" s="104"/>
      <c r="D1" s="242" t="s">
        <v>258</v>
      </c>
      <c r="E1" s="242"/>
      <c r="F1" s="242"/>
      <c r="G1" s="242"/>
      <c r="H1" s="242"/>
      <c r="I1" s="242"/>
      <c r="J1" s="104"/>
      <c r="K1" s="104"/>
    </row>
    <row r="2" spans="1:11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</row>
    <row r="3" spans="1:11">
      <c r="A3" s="35" t="s">
        <v>259</v>
      </c>
      <c r="B3" s="33"/>
      <c r="C3" s="33"/>
      <c r="D3" s="33"/>
      <c r="E3" s="33"/>
      <c r="F3" s="33"/>
      <c r="G3" s="33"/>
      <c r="H3" s="33"/>
      <c r="I3" s="33"/>
      <c r="J3" s="33"/>
    </row>
    <row r="4" spans="1:11">
      <c r="A4" s="35"/>
      <c r="B4" s="33"/>
      <c r="C4" s="33"/>
      <c r="D4" s="33"/>
      <c r="E4" s="33"/>
      <c r="F4" s="33"/>
      <c r="G4" s="33"/>
      <c r="H4" s="33"/>
      <c r="I4" s="33"/>
      <c r="J4" s="33"/>
    </row>
    <row r="5" spans="1:11">
      <c r="A5" s="106" t="s">
        <v>139</v>
      </c>
      <c r="B5" s="106"/>
      <c r="C5" s="106"/>
      <c r="D5" s="106"/>
      <c r="E5" s="106"/>
      <c r="F5" s="106"/>
      <c r="G5" s="106"/>
      <c r="H5" s="33"/>
      <c r="I5" s="33"/>
      <c r="J5" s="33"/>
    </row>
    <row r="6" spans="1:11">
      <c r="A6" s="33" t="s">
        <v>372</v>
      </c>
      <c r="B6" s="33"/>
      <c r="C6" s="33"/>
      <c r="D6" s="106"/>
      <c r="E6" s="106"/>
      <c r="F6" s="106"/>
      <c r="G6" s="106"/>
    </row>
    <row r="7" spans="1:11">
      <c r="A7" s="33" t="s">
        <v>373</v>
      </c>
      <c r="B7" s="33"/>
      <c r="C7" s="33"/>
      <c r="D7" s="106"/>
      <c r="E7" s="106"/>
      <c r="F7" s="106"/>
      <c r="G7" s="106"/>
    </row>
    <row r="8" spans="1:11">
      <c r="A8" s="33" t="s">
        <v>374</v>
      </c>
      <c r="B8" s="83"/>
      <c r="C8" s="83"/>
      <c r="D8" s="33"/>
      <c r="E8" s="33"/>
      <c r="F8" s="33"/>
      <c r="G8" s="33"/>
    </row>
    <row r="9" spans="1:11">
      <c r="A9" s="33" t="s">
        <v>375</v>
      </c>
      <c r="B9" s="93"/>
      <c r="C9" s="93"/>
      <c r="D9" s="106"/>
      <c r="E9" s="106"/>
      <c r="F9" s="106"/>
      <c r="G9" s="106"/>
    </row>
    <row r="10" spans="1:11">
      <c r="A10" s="33"/>
      <c r="B10" s="93"/>
      <c r="C10" s="93"/>
      <c r="D10" s="106"/>
      <c r="E10" s="106"/>
      <c r="F10" s="106"/>
      <c r="G10" s="106"/>
    </row>
    <row r="11" spans="1:11">
      <c r="A11" s="33" t="s">
        <v>376</v>
      </c>
      <c r="B11" s="93"/>
      <c r="C11" s="93"/>
      <c r="D11" s="106"/>
      <c r="E11" s="106"/>
      <c r="F11" s="106"/>
      <c r="G11" s="106"/>
    </row>
    <row r="12" spans="1:11">
      <c r="A12" s="33"/>
      <c r="B12" s="93"/>
      <c r="C12" s="93"/>
      <c r="D12" s="106"/>
      <c r="E12" s="106"/>
      <c r="F12" s="106"/>
      <c r="G12" s="106"/>
    </row>
    <row r="13" spans="1:11">
      <c r="A13" s="35" t="s">
        <v>377</v>
      </c>
      <c r="B13" s="93"/>
      <c r="C13" s="93"/>
      <c r="D13" s="106"/>
      <c r="E13" s="106"/>
      <c r="F13" s="106"/>
      <c r="G13" s="106"/>
    </row>
    <row r="14" spans="1:11">
      <c r="A14" s="33"/>
      <c r="B14" s="93"/>
      <c r="C14" s="93"/>
      <c r="D14" s="106"/>
      <c r="E14" s="106"/>
      <c r="F14" s="106"/>
      <c r="G14" s="106"/>
    </row>
    <row r="15" spans="1:11">
      <c r="A15" s="33"/>
      <c r="B15" s="83" t="s">
        <v>378</v>
      </c>
      <c r="C15" s="83" t="s">
        <v>379</v>
      </c>
      <c r="D15" s="106"/>
      <c r="E15" s="83" t="s">
        <v>378</v>
      </c>
      <c r="F15" s="83" t="s">
        <v>379</v>
      </c>
      <c r="G15" s="106"/>
    </row>
    <row r="16" spans="1:11">
      <c r="A16" s="33"/>
      <c r="B16" s="83" t="s">
        <v>380</v>
      </c>
      <c r="C16" s="83" t="s">
        <v>380</v>
      </c>
      <c r="D16" s="106"/>
      <c r="E16" s="106"/>
      <c r="F16" s="106"/>
      <c r="G16" s="106"/>
    </row>
    <row r="17" spans="1:10">
      <c r="A17" s="33" t="s">
        <v>20</v>
      </c>
      <c r="B17" s="107">
        <v>87500</v>
      </c>
      <c r="C17" s="107">
        <v>140000</v>
      </c>
      <c r="D17" s="106"/>
      <c r="E17" s="158">
        <f>B17/B$17</f>
        <v>1</v>
      </c>
      <c r="F17" s="158">
        <f>C17/C$17</f>
        <v>1</v>
      </c>
      <c r="G17" s="106"/>
    </row>
    <row r="18" spans="1:10" ht="17">
      <c r="A18" s="33" t="s">
        <v>21</v>
      </c>
      <c r="B18" s="108">
        <v>66500</v>
      </c>
      <c r="C18" s="108">
        <v>114800</v>
      </c>
      <c r="D18" s="106"/>
      <c r="E18" s="158">
        <f t="shared" ref="E18:E26" si="0">B18/B$17</f>
        <v>0.76</v>
      </c>
      <c r="F18" s="158">
        <f t="shared" ref="F18:F26" si="1">C18/C$17</f>
        <v>0.82</v>
      </c>
      <c r="G18" s="106"/>
    </row>
    <row r="19" spans="1:10">
      <c r="A19" s="33" t="s">
        <v>22</v>
      </c>
      <c r="B19" s="107">
        <v>21000</v>
      </c>
      <c r="C19" s="107">
        <v>25200</v>
      </c>
      <c r="D19" s="106"/>
      <c r="E19" s="158">
        <f t="shared" si="0"/>
        <v>0.24</v>
      </c>
      <c r="F19" s="158">
        <f t="shared" si="1"/>
        <v>0.18</v>
      </c>
      <c r="G19" s="106"/>
    </row>
    <row r="20" spans="1:10">
      <c r="A20" s="33" t="s">
        <v>381</v>
      </c>
      <c r="B20" s="107">
        <v>1495</v>
      </c>
      <c r="C20" s="107">
        <v>2710</v>
      </c>
      <c r="D20" s="106"/>
      <c r="E20" s="158">
        <f t="shared" si="0"/>
        <v>1.7085714285714287E-2</v>
      </c>
      <c r="F20" s="158">
        <f t="shared" si="1"/>
        <v>1.9357142857142857E-2</v>
      </c>
      <c r="G20" s="106"/>
    </row>
    <row r="21" spans="1:10" ht="17">
      <c r="A21" s="33" t="s">
        <v>382</v>
      </c>
      <c r="B21" s="109">
        <v>2880</v>
      </c>
      <c r="C21" s="109">
        <v>5340</v>
      </c>
      <c r="D21" s="106"/>
      <c r="E21" s="158">
        <f t="shared" si="0"/>
        <v>3.2914285714285715E-2</v>
      </c>
      <c r="F21" s="158">
        <f t="shared" si="1"/>
        <v>3.8142857142857145E-2</v>
      </c>
      <c r="G21" s="106"/>
    </row>
    <row r="22" spans="1:10">
      <c r="A22" s="33" t="s">
        <v>90</v>
      </c>
      <c r="B22" s="107">
        <v>16625</v>
      </c>
      <c r="C22" s="107">
        <v>17150</v>
      </c>
      <c r="D22" s="106"/>
      <c r="E22" s="158">
        <f t="shared" si="0"/>
        <v>0.19</v>
      </c>
      <c r="F22" s="158">
        <f t="shared" si="1"/>
        <v>0.1225</v>
      </c>
      <c r="G22" s="106"/>
    </row>
    <row r="23" spans="1:10" ht="17">
      <c r="A23" s="33" t="s">
        <v>93</v>
      </c>
      <c r="B23" s="109">
        <v>875</v>
      </c>
      <c r="C23" s="109">
        <v>3150</v>
      </c>
      <c r="D23" s="106"/>
      <c r="E23" s="158">
        <f t="shared" si="0"/>
        <v>0.01</v>
      </c>
      <c r="F23" s="158">
        <f t="shared" si="1"/>
        <v>2.2499999999999999E-2</v>
      </c>
      <c r="G23" s="106"/>
    </row>
    <row r="24" spans="1:10">
      <c r="A24" s="33" t="s">
        <v>26</v>
      </c>
      <c r="B24" s="107">
        <v>15750</v>
      </c>
      <c r="C24" s="107">
        <v>14000</v>
      </c>
      <c r="D24" s="106"/>
      <c r="E24" s="158">
        <f t="shared" si="0"/>
        <v>0.18</v>
      </c>
      <c r="F24" s="158">
        <f t="shared" si="1"/>
        <v>0.1</v>
      </c>
      <c r="G24" s="106"/>
    </row>
    <row r="25" spans="1:10" ht="17">
      <c r="A25" s="33" t="s">
        <v>27</v>
      </c>
      <c r="B25" s="108">
        <v>3150</v>
      </c>
      <c r="C25" s="108">
        <v>3500</v>
      </c>
      <c r="D25" s="106"/>
      <c r="E25" s="158">
        <f t="shared" si="0"/>
        <v>3.5999999999999997E-2</v>
      </c>
      <c r="F25" s="158">
        <f t="shared" si="1"/>
        <v>2.5000000000000001E-2</v>
      </c>
      <c r="G25" s="106"/>
    </row>
    <row r="26" spans="1:10" ht="17">
      <c r="A26" s="33" t="s">
        <v>370</v>
      </c>
      <c r="B26" s="110">
        <v>12600</v>
      </c>
      <c r="C26" s="110">
        <v>10500</v>
      </c>
      <c r="D26" s="106"/>
      <c r="E26" s="158">
        <f t="shared" si="0"/>
        <v>0.14399999999999999</v>
      </c>
      <c r="F26" s="158">
        <f t="shared" si="1"/>
        <v>7.4999999999999997E-2</v>
      </c>
      <c r="G26" s="106"/>
    </row>
    <row r="27" spans="1:10">
      <c r="A27" s="33"/>
      <c r="B27" s="33"/>
      <c r="C27" s="33"/>
      <c r="D27" s="106"/>
      <c r="E27" s="106"/>
      <c r="F27" s="106"/>
      <c r="G27" s="106"/>
    </row>
    <row r="28" spans="1:10">
      <c r="A28" s="35" t="s">
        <v>383</v>
      </c>
      <c r="B28" s="33"/>
      <c r="C28" s="33"/>
      <c r="D28" s="106"/>
      <c r="E28" s="106"/>
      <c r="F28" s="106"/>
      <c r="G28" s="106"/>
    </row>
    <row r="29" spans="1:10">
      <c r="A29" s="33"/>
      <c r="B29" s="33"/>
      <c r="C29" s="33"/>
      <c r="D29" s="106"/>
      <c r="E29" s="106"/>
      <c r="F29" s="106"/>
      <c r="G29" s="106"/>
    </row>
    <row r="30" spans="1:10">
      <c r="A30" s="33"/>
      <c r="B30" s="83" t="s">
        <v>378</v>
      </c>
      <c r="C30" s="83" t="s">
        <v>379</v>
      </c>
      <c r="D30" s="106"/>
      <c r="E30" s="83" t="s">
        <v>378</v>
      </c>
      <c r="F30" s="83" t="s">
        <v>379</v>
      </c>
      <c r="G30" s="106"/>
    </row>
    <row r="31" spans="1:10">
      <c r="A31" s="35" t="s">
        <v>67</v>
      </c>
      <c r="B31" s="83" t="s">
        <v>380</v>
      </c>
      <c r="C31" s="83" t="s">
        <v>380</v>
      </c>
      <c r="D31" s="106"/>
      <c r="E31" s="106"/>
      <c r="F31" s="106"/>
      <c r="G31" s="106"/>
      <c r="H31" s="34" t="s">
        <v>646</v>
      </c>
      <c r="I31" s="83" t="s">
        <v>378</v>
      </c>
      <c r="J31" s="83" t="s">
        <v>379</v>
      </c>
    </row>
    <row r="32" spans="1:10">
      <c r="A32" s="35" t="s">
        <v>95</v>
      </c>
      <c r="B32" s="112"/>
      <c r="C32" s="112"/>
      <c r="D32" s="106"/>
      <c r="E32" s="106"/>
      <c r="F32" s="106"/>
      <c r="G32" s="106"/>
      <c r="J32" s="113"/>
    </row>
    <row r="33" spans="1:10">
      <c r="A33" s="33" t="s">
        <v>384</v>
      </c>
      <c r="B33" s="107">
        <v>9800</v>
      </c>
      <c r="C33" s="107">
        <v>10500</v>
      </c>
      <c r="D33" s="33"/>
      <c r="E33" s="158">
        <f>B33/B$41</f>
        <v>0.29166666666666669</v>
      </c>
      <c r="F33" s="158">
        <f>C33/C$41</f>
        <v>0.15789473684210525</v>
      </c>
      <c r="G33" s="106"/>
      <c r="H33" s="34" t="s">
        <v>644</v>
      </c>
      <c r="I33" s="159">
        <f>(B39/B17)*365</f>
        <v>30.66</v>
      </c>
      <c r="J33" s="159">
        <f>(C39/C17)*365</f>
        <v>46.537500000000001</v>
      </c>
    </row>
    <row r="34" spans="1:10">
      <c r="A34" s="33" t="s">
        <v>385</v>
      </c>
      <c r="B34" s="107">
        <v>7000</v>
      </c>
      <c r="C34" s="107">
        <v>8050</v>
      </c>
      <c r="D34" s="33"/>
      <c r="E34" s="158">
        <f t="shared" ref="E34:E55" si="2">B34/B$41</f>
        <v>0.20833333333333334</v>
      </c>
      <c r="F34" s="158">
        <f t="shared" ref="F34:F55" si="3">C34/C$41</f>
        <v>0.12105263157894737</v>
      </c>
      <c r="G34" s="106"/>
      <c r="I34" s="159"/>
      <c r="J34" s="159"/>
    </row>
    <row r="35" spans="1:10" ht="17">
      <c r="A35" s="33" t="s">
        <v>386</v>
      </c>
      <c r="B35" s="109">
        <v>0</v>
      </c>
      <c r="C35" s="109">
        <v>17500</v>
      </c>
      <c r="D35" s="33"/>
      <c r="E35" s="158">
        <f t="shared" si="2"/>
        <v>0</v>
      </c>
      <c r="F35" s="158">
        <f t="shared" si="3"/>
        <v>0.26315789473684209</v>
      </c>
      <c r="G35" s="106"/>
      <c r="H35" s="34" t="s">
        <v>645</v>
      </c>
      <c r="I35" s="159">
        <f>(B52/B18)*365</f>
        <v>24.013157894736842</v>
      </c>
      <c r="J35" s="159">
        <f>(C52/C18)*365</f>
        <v>23.368902439024392</v>
      </c>
    </row>
    <row r="36" spans="1:10" ht="17">
      <c r="A36" s="33"/>
      <c r="B36" s="108">
        <v>16800</v>
      </c>
      <c r="C36" s="108">
        <v>36050</v>
      </c>
      <c r="D36" s="33"/>
      <c r="E36" s="158">
        <f t="shared" si="2"/>
        <v>0.5</v>
      </c>
      <c r="F36" s="158">
        <f t="shared" si="3"/>
        <v>0.54210526315789476</v>
      </c>
      <c r="G36" s="106"/>
    </row>
    <row r="37" spans="1:10">
      <c r="A37" s="35" t="s">
        <v>31</v>
      </c>
      <c r="D37" s="33"/>
      <c r="E37" s="158"/>
      <c r="F37" s="158"/>
      <c r="G37" s="106"/>
      <c r="J37" s="83"/>
    </row>
    <row r="38" spans="1:10">
      <c r="A38" s="33" t="s">
        <v>32</v>
      </c>
      <c r="B38" s="107">
        <v>5600</v>
      </c>
      <c r="C38" s="114">
        <v>11900</v>
      </c>
      <c r="D38" s="33"/>
      <c r="E38" s="158">
        <f t="shared" si="2"/>
        <v>0.16666666666666666</v>
      </c>
      <c r="F38" s="158">
        <f t="shared" si="3"/>
        <v>0.17894736842105263</v>
      </c>
      <c r="G38" s="106"/>
    </row>
    <row r="39" spans="1:10">
      <c r="A39" s="33" t="s">
        <v>71</v>
      </c>
      <c r="B39" s="107">
        <v>7350</v>
      </c>
      <c r="C39" s="114">
        <v>17850</v>
      </c>
      <c r="D39" s="33"/>
      <c r="E39" s="158">
        <f t="shared" si="2"/>
        <v>0.21875</v>
      </c>
      <c r="F39" s="158">
        <f t="shared" si="3"/>
        <v>0.26842105263157895</v>
      </c>
      <c r="G39" s="106"/>
    </row>
    <row r="40" spans="1:10" ht="17">
      <c r="A40" s="33" t="s">
        <v>387</v>
      </c>
      <c r="B40" s="109">
        <v>3850</v>
      </c>
      <c r="C40" s="108">
        <v>700</v>
      </c>
      <c r="D40" s="33"/>
      <c r="E40" s="158">
        <f t="shared" si="2"/>
        <v>0.11458333333333333</v>
      </c>
      <c r="F40" s="158">
        <f t="shared" si="3"/>
        <v>1.0526315789473684E-2</v>
      </c>
    </row>
    <row r="41" spans="1:10" ht="18">
      <c r="A41" s="35" t="s">
        <v>34</v>
      </c>
      <c r="B41" s="115">
        <v>33600</v>
      </c>
      <c r="C41" s="115">
        <v>66500</v>
      </c>
      <c r="D41" s="33"/>
      <c r="E41" s="157">
        <f t="shared" si="2"/>
        <v>1</v>
      </c>
      <c r="F41" s="157">
        <f t="shared" si="3"/>
        <v>1</v>
      </c>
    </row>
    <row r="42" spans="1:10">
      <c r="A42" s="35" t="s">
        <v>35</v>
      </c>
      <c r="D42" s="33"/>
      <c r="E42" s="158"/>
      <c r="F42" s="158"/>
    </row>
    <row r="43" spans="1:10">
      <c r="A43" s="35" t="s">
        <v>103</v>
      </c>
      <c r="B43" s="107"/>
      <c r="C43" s="114"/>
      <c r="D43" s="33"/>
      <c r="E43" s="158"/>
      <c r="F43" s="158"/>
    </row>
    <row r="44" spans="1:10">
      <c r="A44" s="33" t="s">
        <v>388</v>
      </c>
      <c r="B44" s="107">
        <v>3500</v>
      </c>
      <c r="C44" s="114">
        <v>7000</v>
      </c>
      <c r="D44" s="33"/>
      <c r="E44" s="158">
        <f t="shared" si="2"/>
        <v>0.10416666666666667</v>
      </c>
      <c r="F44" s="158">
        <f t="shared" si="3"/>
        <v>0.10526315789473684</v>
      </c>
    </row>
    <row r="45" spans="1:10">
      <c r="A45" s="33" t="s">
        <v>389</v>
      </c>
      <c r="B45" s="107">
        <v>1750</v>
      </c>
      <c r="C45" s="114">
        <v>3150</v>
      </c>
      <c r="D45" s="33"/>
      <c r="E45" s="158">
        <f t="shared" si="2"/>
        <v>5.2083333333333336E-2</v>
      </c>
      <c r="F45" s="158">
        <f t="shared" si="3"/>
        <v>4.736842105263158E-2</v>
      </c>
    </row>
    <row r="46" spans="1:10" ht="17">
      <c r="A46" s="33" t="s">
        <v>38</v>
      </c>
      <c r="B46" s="109">
        <v>5600</v>
      </c>
      <c r="C46" s="108">
        <v>9450</v>
      </c>
      <c r="D46" s="33"/>
      <c r="E46" s="158">
        <f t="shared" si="2"/>
        <v>0.16666666666666666</v>
      </c>
      <c r="F46" s="158">
        <f t="shared" si="3"/>
        <v>0.14210526315789473</v>
      </c>
    </row>
    <row r="47" spans="1:10" ht="17">
      <c r="A47" s="33" t="s">
        <v>390</v>
      </c>
      <c r="B47" s="108">
        <v>10850</v>
      </c>
      <c r="C47" s="108">
        <v>19600</v>
      </c>
      <c r="D47" s="33"/>
      <c r="E47" s="158">
        <f t="shared" si="2"/>
        <v>0.32291666666666669</v>
      </c>
      <c r="F47" s="158">
        <f t="shared" si="3"/>
        <v>0.29473684210526313</v>
      </c>
      <c r="J47" s="116"/>
    </row>
    <row r="48" spans="1:10">
      <c r="A48" s="35" t="s">
        <v>39</v>
      </c>
      <c r="B48" s="107"/>
      <c r="C48" s="107"/>
      <c r="D48" s="33"/>
      <c r="E48" s="158"/>
      <c r="F48" s="158"/>
      <c r="J48" s="116"/>
    </row>
    <row r="49" spans="1:14">
      <c r="A49" s="33" t="s">
        <v>391</v>
      </c>
      <c r="B49" s="107">
        <v>0</v>
      </c>
      <c r="C49" s="107">
        <v>14700</v>
      </c>
      <c r="D49" s="33"/>
      <c r="E49" s="158">
        <f t="shared" si="2"/>
        <v>0</v>
      </c>
      <c r="F49" s="158">
        <f t="shared" si="3"/>
        <v>0.22105263157894736</v>
      </c>
      <c r="J49" s="116"/>
    </row>
    <row r="50" spans="1:14">
      <c r="A50" s="33" t="s">
        <v>392</v>
      </c>
      <c r="B50" s="107">
        <v>15750</v>
      </c>
      <c r="C50" s="107">
        <v>17500</v>
      </c>
      <c r="D50" s="33"/>
      <c r="E50" s="158">
        <f t="shared" si="2"/>
        <v>0.46875</v>
      </c>
      <c r="F50" s="158">
        <f t="shared" si="3"/>
        <v>0.26315789473684209</v>
      </c>
    </row>
    <row r="51" spans="1:14">
      <c r="A51" s="35" t="s">
        <v>40</v>
      </c>
      <c r="B51" s="107"/>
      <c r="C51" s="107"/>
      <c r="D51" s="33"/>
      <c r="E51" s="158"/>
      <c r="F51" s="158"/>
    </row>
    <row r="52" spans="1:14">
      <c r="A52" s="33" t="s">
        <v>41</v>
      </c>
      <c r="B52" s="107">
        <v>4375</v>
      </c>
      <c r="C52" s="107">
        <v>7350</v>
      </c>
      <c r="D52" s="33"/>
      <c r="E52" s="158">
        <f t="shared" si="2"/>
        <v>0.13020833333333334</v>
      </c>
      <c r="F52" s="158">
        <f t="shared" si="3"/>
        <v>0.11052631578947368</v>
      </c>
    </row>
    <row r="53" spans="1:14">
      <c r="A53" s="33" t="s">
        <v>391</v>
      </c>
      <c r="B53" s="107">
        <v>0</v>
      </c>
      <c r="C53" s="107">
        <v>2450</v>
      </c>
      <c r="D53" s="33"/>
      <c r="E53" s="158">
        <f t="shared" si="2"/>
        <v>0</v>
      </c>
      <c r="F53" s="158">
        <f t="shared" si="3"/>
        <v>3.6842105263157891E-2</v>
      </c>
    </row>
    <row r="54" spans="1:14" ht="17">
      <c r="A54" s="33" t="s">
        <v>42</v>
      </c>
      <c r="B54" s="109">
        <v>2625</v>
      </c>
      <c r="C54" s="109">
        <v>4900</v>
      </c>
      <c r="D54" s="33"/>
      <c r="E54" s="158">
        <f t="shared" si="2"/>
        <v>7.8125E-2</v>
      </c>
      <c r="F54" s="158">
        <f t="shared" si="3"/>
        <v>7.3684210526315783E-2</v>
      </c>
    </row>
    <row r="55" spans="1:14" ht="18">
      <c r="A55" s="35" t="s">
        <v>44</v>
      </c>
      <c r="B55" s="115">
        <v>33600</v>
      </c>
      <c r="C55" s="115">
        <v>66500</v>
      </c>
      <c r="D55" s="33"/>
      <c r="E55" s="157">
        <f t="shared" si="2"/>
        <v>1</v>
      </c>
      <c r="F55" s="157">
        <f t="shared" si="3"/>
        <v>1</v>
      </c>
    </row>
    <row r="56" spans="1:14">
      <c r="A56" s="33"/>
      <c r="B56" s="33"/>
      <c r="C56" s="33"/>
      <c r="D56" s="33"/>
    </row>
    <row r="57" spans="1:14">
      <c r="A57" s="35" t="s">
        <v>47</v>
      </c>
      <c r="B57" s="33"/>
      <c r="C57" s="33"/>
      <c r="D57" s="33"/>
    </row>
    <row r="58" spans="1:14">
      <c r="A58" s="33" t="s">
        <v>393</v>
      </c>
      <c r="B58" s="33"/>
      <c r="C58" s="33"/>
      <c r="D58" s="33"/>
      <c r="N58" s="113" t="s">
        <v>394</v>
      </c>
    </row>
    <row r="59" spans="1:14">
      <c r="A59" s="33" t="s">
        <v>395</v>
      </c>
      <c r="B59" s="33"/>
      <c r="C59" s="33"/>
      <c r="D59" s="33"/>
      <c r="N59" s="113" t="s">
        <v>396</v>
      </c>
    </row>
    <row r="60" spans="1:14">
      <c r="A60" s="33" t="s">
        <v>397</v>
      </c>
      <c r="B60" s="33"/>
      <c r="C60" s="33"/>
      <c r="D60" s="33"/>
      <c r="N60" s="113" t="s">
        <v>398</v>
      </c>
    </row>
    <row r="61" spans="1:14">
      <c r="A61" s="33"/>
      <c r="B61" s="33"/>
      <c r="C61" s="33"/>
      <c r="D61" s="33"/>
      <c r="L61" s="35" t="s">
        <v>399</v>
      </c>
      <c r="M61" s="117"/>
      <c r="N61" s="117"/>
    </row>
    <row r="62" spans="1:14">
      <c r="A62" s="33"/>
      <c r="B62" s="33"/>
      <c r="C62" s="33"/>
      <c r="D62" s="33"/>
    </row>
    <row r="63" spans="1:14">
      <c r="A63" s="33"/>
      <c r="B63" s="33"/>
      <c r="C63" s="33"/>
      <c r="D63" s="33"/>
    </row>
    <row r="64" spans="1:14">
      <c r="G64" s="106"/>
    </row>
    <row r="65" spans="7:13">
      <c r="L65" s="35" t="s">
        <v>400</v>
      </c>
      <c r="M65" s="33"/>
    </row>
    <row r="66" spans="7:13">
      <c r="G66" s="105"/>
      <c r="L66" s="35" t="s">
        <v>401</v>
      </c>
      <c r="M66" s="33"/>
    </row>
    <row r="67" spans="7:13">
      <c r="G67" s="105"/>
    </row>
  </sheetData>
  <mergeCells count="2">
    <mergeCell ref="D1:I1"/>
    <mergeCell ref="A2:K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B5EE-C0A6-4322-9548-2E4954B39685}">
  <dimension ref="A1:D58"/>
  <sheetViews>
    <sheetView topLeftCell="A46" workbookViewId="0">
      <selection activeCell="A58" sqref="A58"/>
    </sheetView>
  </sheetViews>
  <sheetFormatPr defaultRowHeight="14.5"/>
  <cols>
    <col min="1" max="1" width="11.1796875" customWidth="1"/>
  </cols>
  <sheetData>
    <row r="1" spans="1:4" ht="15.5">
      <c r="A1" s="33"/>
      <c r="B1" s="33"/>
      <c r="C1" s="33"/>
      <c r="D1" s="33"/>
    </row>
    <row r="2" spans="1:4" ht="15.5">
      <c r="A2" s="33"/>
      <c r="B2" s="33"/>
      <c r="C2" s="33"/>
      <c r="D2" s="33"/>
    </row>
    <row r="3" spans="1:4" s="4" customFormat="1" ht="15.5">
      <c r="A3" s="35" t="s">
        <v>508</v>
      </c>
      <c r="B3" s="35"/>
      <c r="C3" s="35"/>
      <c r="D3" s="35"/>
    </row>
    <row r="4" spans="1:4" s="4" customFormat="1" ht="15.5">
      <c r="A4" s="35"/>
      <c r="B4" s="35"/>
      <c r="C4" s="35"/>
      <c r="D4" s="35"/>
    </row>
    <row r="5" spans="1:4" s="4" customFormat="1" ht="15.5">
      <c r="A5" s="35" t="s">
        <v>509</v>
      </c>
      <c r="B5" s="35"/>
      <c r="C5" s="35"/>
      <c r="D5" s="35"/>
    </row>
    <row r="6" spans="1:4" ht="15.5">
      <c r="A6" s="33"/>
      <c r="B6" s="33"/>
      <c r="C6" s="33"/>
      <c r="D6" s="33"/>
    </row>
    <row r="7" spans="1:4" ht="15.5">
      <c r="A7" s="33" t="s">
        <v>510</v>
      </c>
      <c r="B7" s="33"/>
      <c r="C7" s="33"/>
      <c r="D7" s="33"/>
    </row>
    <row r="8" spans="1:4" ht="15.5">
      <c r="A8" s="33"/>
      <c r="B8" s="33"/>
      <c r="C8" s="33"/>
      <c r="D8" s="33"/>
    </row>
    <row r="9" spans="1:4" ht="15.5">
      <c r="A9" s="33" t="s">
        <v>511</v>
      </c>
      <c r="B9" s="33"/>
      <c r="C9" s="33"/>
      <c r="D9" s="33"/>
    </row>
    <row r="10" spans="1:4" ht="15.5">
      <c r="A10" s="33"/>
      <c r="B10" s="33"/>
      <c r="C10" s="33"/>
      <c r="D10" s="33"/>
    </row>
    <row r="11" spans="1:4" ht="15.5">
      <c r="A11" s="33" t="s">
        <v>512</v>
      </c>
      <c r="B11" s="33"/>
      <c r="C11" s="33"/>
      <c r="D11" s="33"/>
    </row>
    <row r="12" spans="1:4" ht="15.5">
      <c r="A12" s="33" t="s">
        <v>513</v>
      </c>
      <c r="B12" s="33"/>
      <c r="C12" s="33"/>
      <c r="D12" s="33"/>
    </row>
    <row r="13" spans="1:4" ht="15.5">
      <c r="A13" s="33" t="s">
        <v>514</v>
      </c>
      <c r="B13" s="33"/>
      <c r="C13" s="33"/>
      <c r="D13" s="33"/>
    </row>
    <row r="14" spans="1:4" ht="15.5">
      <c r="A14" s="33" t="s">
        <v>507</v>
      </c>
      <c r="B14" s="33"/>
      <c r="C14" s="33"/>
      <c r="D14" s="33"/>
    </row>
    <row r="15" spans="1:4" ht="15.5">
      <c r="A15" s="33" t="s">
        <v>515</v>
      </c>
      <c r="B15" s="33"/>
      <c r="C15" s="33"/>
      <c r="D15" s="33"/>
    </row>
    <row r="16" spans="1:4" ht="15.5">
      <c r="A16" s="33" t="s">
        <v>516</v>
      </c>
      <c r="B16" s="33"/>
      <c r="C16" s="33"/>
      <c r="D16" s="33"/>
    </row>
    <row r="17" spans="1:4" ht="15.5">
      <c r="A17" s="33"/>
      <c r="B17" s="33"/>
      <c r="C17" s="33"/>
      <c r="D17" s="33"/>
    </row>
    <row r="18" spans="1:4" ht="15.5">
      <c r="A18" s="33" t="s">
        <v>517</v>
      </c>
      <c r="B18" s="33"/>
      <c r="C18" s="33"/>
      <c r="D18" s="33"/>
    </row>
    <row r="19" spans="1:4" ht="15.5">
      <c r="A19" s="33" t="s">
        <v>518</v>
      </c>
      <c r="B19" s="33"/>
      <c r="C19" s="33"/>
      <c r="D19" s="33"/>
    </row>
    <row r="20" spans="1:4" ht="15.5">
      <c r="A20" s="33" t="s">
        <v>507</v>
      </c>
      <c r="B20" s="33"/>
      <c r="C20" s="33"/>
      <c r="D20" s="33"/>
    </row>
    <row r="21" spans="1:4" ht="15.5">
      <c r="A21" s="33" t="s">
        <v>519</v>
      </c>
      <c r="B21" s="33"/>
      <c r="C21" s="33"/>
      <c r="D21" s="33"/>
    </row>
    <row r="22" spans="1:4" ht="15.5">
      <c r="A22" s="33" t="s">
        <v>520</v>
      </c>
      <c r="B22" s="33"/>
      <c r="C22" s="33"/>
      <c r="D22" s="33"/>
    </row>
    <row r="23" spans="1:4" ht="15.5">
      <c r="A23" s="33"/>
      <c r="B23" s="33"/>
      <c r="C23" s="33"/>
      <c r="D23" s="33"/>
    </row>
    <row r="24" spans="1:4" ht="15.5">
      <c r="A24" s="33" t="s">
        <v>521</v>
      </c>
      <c r="B24" s="33"/>
      <c r="C24" s="33"/>
      <c r="D24" s="33"/>
    </row>
    <row r="25" spans="1:4" ht="15.5">
      <c r="A25" s="33" t="s">
        <v>522</v>
      </c>
      <c r="B25" s="33"/>
      <c r="C25" s="33"/>
      <c r="D25" s="33"/>
    </row>
    <row r="26" spans="1:4" ht="15.5">
      <c r="A26" s="33" t="s">
        <v>523</v>
      </c>
      <c r="B26" s="33"/>
      <c r="C26" s="33"/>
      <c r="D26" s="33"/>
    </row>
    <row r="27" spans="1:4" ht="15.5">
      <c r="A27" s="33"/>
      <c r="B27" s="33"/>
      <c r="C27" s="33"/>
      <c r="D27" s="33"/>
    </row>
    <row r="28" spans="1:4" ht="15.5">
      <c r="A28" s="33" t="s">
        <v>524</v>
      </c>
      <c r="B28" s="33"/>
      <c r="C28" s="33"/>
      <c r="D28" s="33"/>
    </row>
    <row r="29" spans="1:4" ht="15.5">
      <c r="A29" s="33" t="s">
        <v>525</v>
      </c>
      <c r="B29" s="33"/>
      <c r="C29" s="33"/>
      <c r="D29" s="33"/>
    </row>
    <row r="30" spans="1:4" ht="15.5">
      <c r="A30" s="33" t="s">
        <v>526</v>
      </c>
      <c r="B30" s="33"/>
      <c r="C30" s="33"/>
      <c r="D30" s="33"/>
    </row>
    <row r="31" spans="1:4" ht="15.5">
      <c r="A31" s="33" t="s">
        <v>507</v>
      </c>
      <c r="B31" s="33"/>
      <c r="C31" s="33"/>
      <c r="D31" s="33"/>
    </row>
    <row r="32" spans="1:4" ht="15.5">
      <c r="A32" s="33" t="s">
        <v>527</v>
      </c>
      <c r="B32" s="33"/>
      <c r="C32" s="33"/>
      <c r="D32" s="33"/>
    </row>
    <row r="33" spans="1:4" ht="15.5">
      <c r="A33" s="33" t="s">
        <v>528</v>
      </c>
      <c r="B33" s="33"/>
      <c r="C33" s="33"/>
      <c r="D33" s="33"/>
    </row>
    <row r="34" spans="1:4" ht="15.5">
      <c r="A34" s="33" t="s">
        <v>529</v>
      </c>
      <c r="B34" s="33"/>
      <c r="C34" s="33"/>
      <c r="D34" s="33"/>
    </row>
    <row r="35" spans="1:4" ht="15.5">
      <c r="A35" s="33" t="s">
        <v>530</v>
      </c>
      <c r="B35" s="33"/>
      <c r="C35" s="33"/>
      <c r="D35" s="33"/>
    </row>
    <row r="36" spans="1:4" ht="15.5">
      <c r="A36" s="33"/>
      <c r="B36" s="33"/>
      <c r="C36" s="33"/>
      <c r="D36" s="33"/>
    </row>
    <row r="37" spans="1:4" ht="15.5">
      <c r="A37" s="33" t="s">
        <v>531</v>
      </c>
      <c r="B37" s="33"/>
      <c r="C37" s="33"/>
      <c r="D37" s="33"/>
    </row>
    <row r="38" spans="1:4" ht="15.5">
      <c r="A38" s="33"/>
      <c r="B38" s="33"/>
      <c r="C38" s="33"/>
      <c r="D38" s="33"/>
    </row>
    <row r="39" spans="1:4" ht="15.5">
      <c r="A39" s="33" t="s">
        <v>532</v>
      </c>
      <c r="B39" s="33"/>
      <c r="C39" s="33"/>
      <c r="D39" s="33"/>
    </row>
    <row r="40" spans="1:4" ht="15.5">
      <c r="A40" s="33"/>
      <c r="B40" s="33"/>
      <c r="C40" s="33"/>
      <c r="D40" s="33"/>
    </row>
    <row r="41" spans="1:4" ht="15.5">
      <c r="A41" s="33" t="s">
        <v>533</v>
      </c>
      <c r="B41" s="33"/>
      <c r="C41" s="33"/>
      <c r="D41" s="33"/>
    </row>
    <row r="42" spans="1:4" ht="15.5">
      <c r="A42" s="33"/>
      <c r="B42" s="33"/>
      <c r="C42" s="33"/>
      <c r="D42" s="33"/>
    </row>
    <row r="43" spans="1:4" ht="15.5">
      <c r="A43" s="33" t="s">
        <v>534</v>
      </c>
      <c r="B43" s="33"/>
      <c r="C43" s="33"/>
      <c r="D43" s="33"/>
    </row>
    <row r="44" spans="1:4" ht="15.5">
      <c r="A44" s="33" t="s">
        <v>535</v>
      </c>
      <c r="B44" s="33"/>
      <c r="C44" s="33"/>
      <c r="D44" s="33"/>
    </row>
    <row r="45" spans="1:4" ht="15.5">
      <c r="A45" s="33"/>
      <c r="B45" s="33"/>
      <c r="C45" s="33"/>
      <c r="D45" s="33"/>
    </row>
    <row r="46" spans="1:4" ht="15.5">
      <c r="A46" s="33" t="s">
        <v>536</v>
      </c>
      <c r="B46" s="33"/>
      <c r="C46" s="33"/>
      <c r="D46" s="33"/>
    </row>
    <row r="47" spans="1:4" ht="15.5">
      <c r="A47" s="33"/>
      <c r="B47" s="33"/>
      <c r="C47" s="33"/>
      <c r="D47" s="33"/>
    </row>
    <row r="48" spans="1:4" ht="15.5">
      <c r="A48" s="33" t="s">
        <v>537</v>
      </c>
      <c r="B48" s="33"/>
      <c r="C48" s="33"/>
      <c r="D48" s="33"/>
    </row>
    <row r="49" spans="1:4" ht="15.5">
      <c r="A49" s="33" t="s">
        <v>538</v>
      </c>
      <c r="B49" s="33"/>
      <c r="C49" s="33"/>
      <c r="D49" s="33"/>
    </row>
    <row r="50" spans="1:4" ht="15.5">
      <c r="A50" s="33"/>
      <c r="B50" s="33"/>
      <c r="C50" s="33"/>
      <c r="D50" s="33"/>
    </row>
    <row r="51" spans="1:4" ht="15.5">
      <c r="A51" s="33" t="s">
        <v>539</v>
      </c>
      <c r="B51" s="33"/>
      <c r="C51" s="33"/>
      <c r="D51" s="33"/>
    </row>
    <row r="52" spans="1:4" ht="15.5">
      <c r="A52" s="33" t="s">
        <v>540</v>
      </c>
      <c r="B52" s="33"/>
      <c r="C52" s="33"/>
      <c r="D52" s="33"/>
    </row>
    <row r="53" spans="1:4" ht="15.5">
      <c r="A53" s="33"/>
      <c r="B53" s="33"/>
      <c r="C53" s="33"/>
      <c r="D53" s="33"/>
    </row>
    <row r="54" spans="1:4" ht="15.5">
      <c r="A54" s="33" t="s">
        <v>47</v>
      </c>
      <c r="B54" s="33"/>
      <c r="C54" s="33"/>
      <c r="D54" s="33"/>
    </row>
    <row r="55" spans="1:4" ht="15.5">
      <c r="A55" s="33" t="s">
        <v>541</v>
      </c>
    </row>
    <row r="56" spans="1:4" ht="15.5">
      <c r="A56" s="33" t="s">
        <v>542</v>
      </c>
    </row>
    <row r="57" spans="1:4" ht="15.5">
      <c r="A57" s="33" t="s">
        <v>543</v>
      </c>
    </row>
    <row r="58" spans="1:4" ht="15.5">
      <c r="A58" s="33" t="s">
        <v>544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7A71-6961-4200-9D5B-9620E25D73E0}">
  <dimension ref="A1:K91"/>
  <sheetViews>
    <sheetView topLeftCell="A73" workbookViewId="0">
      <selection activeCell="A84" sqref="A84"/>
    </sheetView>
  </sheetViews>
  <sheetFormatPr defaultRowHeight="15.5"/>
  <cols>
    <col min="1" max="1" width="47.81640625" style="34" customWidth="1"/>
    <col min="2" max="2" width="18.453125" style="34" bestFit="1" customWidth="1"/>
    <col min="3" max="7" width="8.7265625" style="34"/>
    <col min="8" max="8" width="9.1796875" style="34" customWidth="1"/>
    <col min="9" max="10" width="8.7265625" style="34"/>
    <col min="11" max="11" width="10.81640625" style="34" customWidth="1"/>
    <col min="12" max="12" width="9.1796875" style="34" customWidth="1"/>
    <col min="13" max="16384" width="8.7265625" style="34"/>
  </cols>
  <sheetData>
    <row r="1" spans="1:9">
      <c r="A1" s="118"/>
      <c r="B1" s="35"/>
      <c r="C1" s="35"/>
      <c r="D1" s="35"/>
      <c r="E1" s="35"/>
      <c r="F1" s="35"/>
      <c r="G1" s="35"/>
      <c r="H1" s="118"/>
      <c r="I1" s="118"/>
    </row>
    <row r="2" spans="1:9">
      <c r="A2" s="35"/>
      <c r="B2" s="35"/>
      <c r="C2" s="35"/>
      <c r="D2" s="35"/>
      <c r="E2" s="35"/>
      <c r="F2" s="35"/>
      <c r="G2" s="35"/>
      <c r="H2" s="35"/>
      <c r="I2" s="35"/>
    </row>
    <row r="3" spans="1:9">
      <c r="A3" s="35" t="s">
        <v>259</v>
      </c>
      <c r="B3" s="33"/>
      <c r="C3" s="33"/>
      <c r="D3" s="33"/>
      <c r="E3" s="33"/>
      <c r="F3" s="33"/>
      <c r="G3" s="33"/>
      <c r="H3" s="33"/>
    </row>
    <row r="4" spans="1:9">
      <c r="A4" s="35"/>
      <c r="B4" s="33"/>
      <c r="C4" s="33"/>
      <c r="D4" s="33"/>
      <c r="E4" s="33"/>
      <c r="F4" s="33"/>
      <c r="G4" s="33"/>
      <c r="H4" s="33"/>
    </row>
    <row r="5" spans="1:9">
      <c r="A5" s="106" t="s">
        <v>402</v>
      </c>
      <c r="B5" s="106"/>
      <c r="C5" s="106"/>
      <c r="D5" s="106"/>
      <c r="E5" s="106"/>
      <c r="F5" s="33"/>
      <c r="G5" s="33"/>
      <c r="H5" s="33"/>
    </row>
    <row r="6" spans="1:9">
      <c r="A6" s="33" t="s">
        <v>403</v>
      </c>
      <c r="B6" s="106"/>
      <c r="C6" s="106"/>
      <c r="D6" s="106"/>
      <c r="E6" s="106"/>
    </row>
    <row r="7" spans="1:9">
      <c r="A7" s="33"/>
      <c r="B7" s="106"/>
      <c r="C7" s="106"/>
      <c r="D7" s="106"/>
      <c r="E7" s="106"/>
    </row>
    <row r="8" spans="1:9">
      <c r="A8" s="35" t="s">
        <v>404</v>
      </c>
      <c r="B8" s="33"/>
      <c r="C8" s="33"/>
      <c r="D8" s="33"/>
      <c r="E8" s="33"/>
    </row>
    <row r="9" spans="1:9">
      <c r="A9" s="35" t="s">
        <v>405</v>
      </c>
      <c r="B9" s="119" t="s">
        <v>406</v>
      </c>
      <c r="D9" s="106"/>
      <c r="E9" s="106"/>
    </row>
    <row r="10" spans="1:9">
      <c r="A10" s="33" t="s">
        <v>407</v>
      </c>
      <c r="B10" s="120">
        <v>4500</v>
      </c>
      <c r="C10" s="106"/>
      <c r="D10" s="106"/>
      <c r="E10" s="106"/>
    </row>
    <row r="11" spans="1:9">
      <c r="A11" s="35" t="s">
        <v>408</v>
      </c>
      <c r="B11" s="121"/>
      <c r="C11" s="106"/>
      <c r="D11" s="106"/>
      <c r="E11" s="106"/>
    </row>
    <row r="12" spans="1:9">
      <c r="A12" s="33" t="s">
        <v>409</v>
      </c>
      <c r="B12" s="120">
        <v>600</v>
      </c>
      <c r="C12" s="106"/>
      <c r="D12" s="106"/>
      <c r="E12" s="106"/>
    </row>
    <row r="13" spans="1:9" ht="17">
      <c r="A13" s="33" t="s">
        <v>410</v>
      </c>
      <c r="B13" s="122">
        <v>3260</v>
      </c>
      <c r="C13" s="106"/>
      <c r="D13" s="106"/>
      <c r="E13" s="106"/>
    </row>
    <row r="14" spans="1:9">
      <c r="A14" s="35"/>
      <c r="B14" s="121">
        <f>B12+B13</f>
        <v>3860</v>
      </c>
      <c r="C14" s="106"/>
      <c r="D14" s="106"/>
      <c r="E14" s="106"/>
    </row>
    <row r="15" spans="1:9">
      <c r="A15" s="33" t="s">
        <v>411</v>
      </c>
      <c r="B15" s="123">
        <v>-660</v>
      </c>
      <c r="C15" s="106"/>
      <c r="D15" s="106"/>
      <c r="E15" s="106"/>
    </row>
    <row r="16" spans="1:9">
      <c r="A16" s="33" t="s">
        <v>412</v>
      </c>
      <c r="B16" s="124">
        <f>-(B14+B15)</f>
        <v>-3200</v>
      </c>
      <c r="C16" s="106"/>
      <c r="D16" s="106"/>
      <c r="E16" s="106"/>
    </row>
    <row r="17" spans="1:8">
      <c r="A17" s="35" t="s">
        <v>22</v>
      </c>
      <c r="B17" s="141">
        <f>B10+B16</f>
        <v>1300</v>
      </c>
      <c r="C17" s="106"/>
      <c r="D17" s="106"/>
      <c r="E17" s="106"/>
    </row>
    <row r="18" spans="1:8">
      <c r="A18" s="35" t="s">
        <v>413</v>
      </c>
      <c r="B18" s="120"/>
      <c r="C18" s="106"/>
      <c r="D18" s="106"/>
      <c r="E18" s="106"/>
    </row>
    <row r="19" spans="1:8">
      <c r="A19" s="33" t="s">
        <v>382</v>
      </c>
      <c r="B19" s="125">
        <f>'[1]QUESTION 21'!$B$19-210</f>
        <v>-420</v>
      </c>
      <c r="C19" s="106"/>
      <c r="D19" s="106"/>
      <c r="E19" s="106"/>
    </row>
    <row r="20" spans="1:8">
      <c r="A20" s="33" t="s">
        <v>414</v>
      </c>
      <c r="B20" s="124">
        <v>-210</v>
      </c>
      <c r="C20" s="106"/>
      <c r="D20" s="106"/>
      <c r="E20" s="106"/>
    </row>
    <row r="21" spans="1:8">
      <c r="A21" s="35" t="s">
        <v>415</v>
      </c>
      <c r="B21" s="142">
        <f>B17+B19+B20</f>
        <v>670</v>
      </c>
      <c r="C21" s="106"/>
      <c r="D21" s="106"/>
      <c r="E21" s="106"/>
    </row>
    <row r="22" spans="1:8">
      <c r="A22" s="33" t="s">
        <v>416</v>
      </c>
      <c r="B22" s="124">
        <v>-150</v>
      </c>
      <c r="C22" s="106"/>
      <c r="D22" s="106"/>
      <c r="E22" s="106"/>
    </row>
    <row r="23" spans="1:8">
      <c r="A23" s="35" t="s">
        <v>417</v>
      </c>
      <c r="B23" s="141">
        <f>B21+B22</f>
        <v>520</v>
      </c>
      <c r="C23" s="106"/>
      <c r="D23" s="106"/>
      <c r="E23" s="106"/>
    </row>
    <row r="24" spans="1:8">
      <c r="A24" s="33" t="s">
        <v>59</v>
      </c>
      <c r="B24" s="124">
        <v>-140</v>
      </c>
      <c r="C24" s="106"/>
      <c r="D24" s="106"/>
      <c r="E24" s="106"/>
    </row>
    <row r="25" spans="1:8">
      <c r="A25" s="35" t="s">
        <v>418</v>
      </c>
      <c r="B25" s="141">
        <f>B23+B24</f>
        <v>380</v>
      </c>
      <c r="C25" s="106"/>
      <c r="D25" s="106"/>
      <c r="E25" s="106"/>
    </row>
    <row r="26" spans="1:8">
      <c r="A26" s="33" t="s">
        <v>273</v>
      </c>
      <c r="B26" s="124">
        <v>-160</v>
      </c>
      <c r="C26" s="106"/>
      <c r="D26" s="106"/>
      <c r="E26" s="106"/>
    </row>
    <row r="27" spans="1:8">
      <c r="A27" s="35" t="s">
        <v>419</v>
      </c>
      <c r="B27" s="141">
        <f>B25+B26</f>
        <v>220</v>
      </c>
      <c r="C27" s="106"/>
      <c r="D27" s="106"/>
      <c r="E27" s="106"/>
    </row>
    <row r="28" spans="1:8">
      <c r="A28" s="33" t="s">
        <v>420</v>
      </c>
      <c r="B28" s="124">
        <v>-180</v>
      </c>
      <c r="C28" s="106"/>
      <c r="D28" s="106"/>
      <c r="E28" s="106"/>
    </row>
    <row r="29" spans="1:8">
      <c r="A29" s="35" t="s">
        <v>421</v>
      </c>
      <c r="B29" s="141">
        <f>B27+B28</f>
        <v>40</v>
      </c>
      <c r="C29" s="106"/>
      <c r="D29" s="106"/>
      <c r="E29" s="106"/>
    </row>
    <row r="30" spans="1:8">
      <c r="A30" s="33" t="s">
        <v>422</v>
      </c>
      <c r="B30" s="124">
        <v>550</v>
      </c>
      <c r="C30" s="106"/>
      <c r="D30" s="106"/>
      <c r="E30" s="106"/>
    </row>
    <row r="31" spans="1:8">
      <c r="A31" s="35" t="s">
        <v>423</v>
      </c>
      <c r="B31" s="140">
        <f>B29+B30</f>
        <v>590</v>
      </c>
      <c r="C31" s="106"/>
      <c r="D31" s="106"/>
      <c r="E31" s="106"/>
      <c r="H31" s="111"/>
    </row>
    <row r="32" spans="1:8">
      <c r="A32" s="33"/>
      <c r="B32" s="126"/>
      <c r="C32" s="106"/>
      <c r="D32" s="106"/>
      <c r="E32" s="106"/>
      <c r="H32" s="111"/>
    </row>
    <row r="33" spans="1:8">
      <c r="A33" s="35" t="s">
        <v>404</v>
      </c>
      <c r="B33" s="127"/>
      <c r="C33" s="106"/>
      <c r="D33" s="106"/>
      <c r="E33" s="106"/>
      <c r="H33" s="113"/>
    </row>
    <row r="34" spans="1:8">
      <c r="A34" s="35" t="s">
        <v>424</v>
      </c>
      <c r="B34" s="83" t="s">
        <v>406</v>
      </c>
      <c r="C34" s="106"/>
      <c r="D34" s="106"/>
      <c r="E34" s="106"/>
    </row>
    <row r="35" spans="1:8">
      <c r="A35" s="35" t="s">
        <v>67</v>
      </c>
      <c r="B35" s="128"/>
      <c r="C35" s="106"/>
      <c r="D35" s="106"/>
      <c r="E35" s="106"/>
    </row>
    <row r="36" spans="1:8">
      <c r="A36" s="35" t="s">
        <v>425</v>
      </c>
      <c r="B36" s="139">
        <v>2440</v>
      </c>
      <c r="C36" s="106"/>
      <c r="D36" s="106"/>
      <c r="E36" s="106"/>
    </row>
    <row r="37" spans="1:8">
      <c r="A37" s="35" t="s">
        <v>31</v>
      </c>
      <c r="B37" s="128"/>
      <c r="C37" s="106"/>
      <c r="D37" s="106"/>
      <c r="E37" s="106"/>
    </row>
    <row r="38" spans="1:8">
      <c r="A38" s="33" t="s">
        <v>32</v>
      </c>
      <c r="B38" s="129">
        <v>660</v>
      </c>
      <c r="C38" s="106"/>
      <c r="D38" s="106"/>
      <c r="E38" s="106"/>
      <c r="H38" s="83"/>
    </row>
    <row r="39" spans="1:8">
      <c r="A39" s="33" t="s">
        <v>71</v>
      </c>
      <c r="B39" s="129">
        <v>970</v>
      </c>
      <c r="C39" s="106"/>
      <c r="D39" s="106"/>
      <c r="E39" s="106"/>
    </row>
    <row r="40" spans="1:8" ht="17">
      <c r="A40" s="33" t="s">
        <v>426</v>
      </c>
      <c r="B40" s="130">
        <v>140</v>
      </c>
      <c r="C40" s="106"/>
      <c r="D40" s="106"/>
      <c r="E40" s="106"/>
    </row>
    <row r="41" spans="1:8" ht="18">
      <c r="A41" s="35" t="s">
        <v>98</v>
      </c>
      <c r="B41" s="137">
        <f>SUM(B38:B40)</f>
        <v>1770</v>
      </c>
    </row>
    <row r="42" spans="1:8" ht="16.5">
      <c r="A42" s="35" t="s">
        <v>34</v>
      </c>
      <c r="B42" s="138">
        <f>B36+B41</f>
        <v>4210</v>
      </c>
    </row>
    <row r="43" spans="1:8">
      <c r="A43" s="35" t="s">
        <v>74</v>
      </c>
      <c r="B43" s="128"/>
    </row>
    <row r="44" spans="1:8">
      <c r="A44" s="33" t="s">
        <v>427</v>
      </c>
      <c r="B44" s="129">
        <v>850</v>
      </c>
    </row>
    <row r="45" spans="1:8">
      <c r="A45" s="33" t="s">
        <v>428</v>
      </c>
      <c r="B45" s="131">
        <v>330</v>
      </c>
    </row>
    <row r="46" spans="1:8" ht="17">
      <c r="A46" s="33" t="s">
        <v>429</v>
      </c>
      <c r="B46" s="130">
        <f>B29</f>
        <v>40</v>
      </c>
    </row>
    <row r="47" spans="1:8" ht="18">
      <c r="A47" s="35" t="s">
        <v>430</v>
      </c>
      <c r="B47" s="137">
        <f>SUM(B44:B46)</f>
        <v>1220</v>
      </c>
    </row>
    <row r="48" spans="1:8">
      <c r="A48" s="35" t="s">
        <v>150</v>
      </c>
      <c r="B48" s="131"/>
      <c r="H48" s="116"/>
    </row>
    <row r="49" spans="1:8">
      <c r="A49" s="35" t="s">
        <v>431</v>
      </c>
      <c r="B49" s="131"/>
      <c r="H49" s="116"/>
    </row>
    <row r="50" spans="1:8">
      <c r="A50" s="33" t="s">
        <v>432</v>
      </c>
      <c r="B50" s="129">
        <v>1300</v>
      </c>
      <c r="H50" s="116"/>
    </row>
    <row r="51" spans="1:8">
      <c r="A51" s="35" t="s">
        <v>40</v>
      </c>
      <c r="B51" s="131"/>
    </row>
    <row r="52" spans="1:8">
      <c r="A52" s="33" t="s">
        <v>41</v>
      </c>
      <c r="B52" s="129">
        <v>810</v>
      </c>
    </row>
    <row r="53" spans="1:8" ht="17">
      <c r="A53" s="33" t="s">
        <v>80</v>
      </c>
      <c r="B53" s="130">
        <v>120</v>
      </c>
    </row>
    <row r="54" spans="1:8" ht="17">
      <c r="A54" s="33"/>
      <c r="B54" s="132">
        <f>SUM(B52:B53)</f>
        <v>930</v>
      </c>
    </row>
    <row r="55" spans="1:8" ht="18">
      <c r="A55" s="35" t="s">
        <v>433</v>
      </c>
      <c r="B55" s="136">
        <f>B50+B54</f>
        <v>2230</v>
      </c>
    </row>
    <row r="56" spans="1:8" ht="16.5">
      <c r="A56" s="35" t="s">
        <v>82</v>
      </c>
      <c r="B56" s="135">
        <f>B46+B55</f>
        <v>2270</v>
      </c>
    </row>
    <row r="57" spans="1:8">
      <c r="A57" s="35" t="s">
        <v>434</v>
      </c>
      <c r="B57" s="33"/>
      <c r="C57" s="33"/>
    </row>
    <row r="58" spans="1:8">
      <c r="A58" s="33"/>
      <c r="B58" s="33"/>
    </row>
    <row r="59" spans="1:8">
      <c r="A59" s="35" t="s">
        <v>435</v>
      </c>
      <c r="B59" s="33"/>
    </row>
    <row r="60" spans="1:8">
      <c r="A60" s="33" t="s">
        <v>436</v>
      </c>
      <c r="B60" s="33"/>
    </row>
    <row r="61" spans="1:8">
      <c r="A61" s="33" t="s">
        <v>437</v>
      </c>
      <c r="B61" s="33"/>
    </row>
    <row r="62" spans="1:8" ht="17">
      <c r="A62" s="33" t="s">
        <v>438</v>
      </c>
      <c r="B62" s="133"/>
      <c r="F62" s="133"/>
    </row>
    <row r="63" spans="1:8">
      <c r="A63" s="33" t="s">
        <v>439</v>
      </c>
    </row>
    <row r="64" spans="1:8">
      <c r="A64" s="33" t="s">
        <v>440</v>
      </c>
    </row>
    <row r="65" spans="1:3" ht="17">
      <c r="A65" s="33" t="s">
        <v>441</v>
      </c>
      <c r="B65" s="133"/>
    </row>
    <row r="66" spans="1:3" ht="17">
      <c r="A66" s="33" t="s">
        <v>442</v>
      </c>
      <c r="C66" s="133"/>
    </row>
    <row r="67" spans="1:3" ht="17">
      <c r="A67" s="33" t="s">
        <v>443</v>
      </c>
      <c r="B67" s="133"/>
    </row>
    <row r="69" spans="1:3">
      <c r="A69" s="35" t="s">
        <v>444</v>
      </c>
    </row>
    <row r="70" spans="1:3">
      <c r="A70" s="33" t="s">
        <v>445</v>
      </c>
    </row>
    <row r="71" spans="1:3">
      <c r="A71" s="33" t="s">
        <v>446</v>
      </c>
    </row>
    <row r="72" spans="1:3">
      <c r="A72" s="33" t="s">
        <v>447</v>
      </c>
    </row>
    <row r="73" spans="1:3">
      <c r="A73" s="33" t="s">
        <v>448</v>
      </c>
    </row>
    <row r="74" spans="1:3">
      <c r="A74" s="33" t="s">
        <v>449</v>
      </c>
    </row>
    <row r="75" spans="1:3">
      <c r="A75" s="33" t="s">
        <v>450</v>
      </c>
    </row>
    <row r="76" spans="1:3">
      <c r="A76" s="33" t="s">
        <v>451</v>
      </c>
    </row>
    <row r="77" spans="1:3">
      <c r="A77" s="33" t="s">
        <v>452</v>
      </c>
    </row>
    <row r="78" spans="1:3">
      <c r="A78" s="33" t="s">
        <v>453</v>
      </c>
    </row>
    <row r="80" spans="1:3">
      <c r="A80" s="35" t="s">
        <v>47</v>
      </c>
    </row>
    <row r="81" spans="1:11">
      <c r="A81" s="33" t="s">
        <v>454</v>
      </c>
      <c r="B81" s="33"/>
      <c r="C81" s="33"/>
      <c r="D81" s="33"/>
      <c r="E81" s="33"/>
      <c r="H81" s="113" t="s">
        <v>455</v>
      </c>
      <c r="I81" s="113"/>
      <c r="K81" s="33"/>
    </row>
    <row r="82" spans="1:11">
      <c r="A82" s="33"/>
      <c r="B82" s="33"/>
      <c r="C82" s="33"/>
      <c r="D82" s="33"/>
      <c r="E82" s="33"/>
      <c r="H82" s="33"/>
      <c r="I82" s="33"/>
      <c r="K82" s="33"/>
    </row>
    <row r="83" spans="1:11">
      <c r="A83" s="33" t="s">
        <v>456</v>
      </c>
      <c r="B83" s="33"/>
      <c r="C83" s="33"/>
      <c r="D83" s="33"/>
      <c r="E83" s="33"/>
      <c r="H83" s="113" t="s">
        <v>455</v>
      </c>
      <c r="J83" s="33"/>
      <c r="K83" s="38"/>
    </row>
    <row r="84" spans="1:11">
      <c r="A84" s="33" t="s">
        <v>702</v>
      </c>
      <c r="B84" s="33"/>
      <c r="C84" s="33"/>
      <c r="D84" s="33"/>
      <c r="E84" s="33"/>
      <c r="F84" s="33"/>
      <c r="H84" s="83" t="s">
        <v>50</v>
      </c>
      <c r="K84" s="33"/>
    </row>
    <row r="85" spans="1:11">
      <c r="I85" s="33"/>
      <c r="J85" s="33"/>
      <c r="K85" s="33"/>
    </row>
    <row r="86" spans="1:11">
      <c r="H86" s="118"/>
    </row>
    <row r="90" spans="1:11">
      <c r="F90" s="35" t="s">
        <v>457</v>
      </c>
    </row>
    <row r="91" spans="1:11">
      <c r="F91" s="134" t="s">
        <v>306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8557-C00A-4537-99A1-1DC617CB3A9D}">
  <dimension ref="A1:M77"/>
  <sheetViews>
    <sheetView topLeftCell="A23" workbookViewId="0">
      <selection activeCell="A42" sqref="A42:XFD46"/>
    </sheetView>
  </sheetViews>
  <sheetFormatPr defaultRowHeight="15.5"/>
  <cols>
    <col min="1" max="1" width="4.54296875" style="33" customWidth="1"/>
    <col min="2" max="16384" width="8.7265625" style="33"/>
  </cols>
  <sheetData>
    <row r="1" spans="1:2">
      <c r="A1" s="33" t="s">
        <v>137</v>
      </c>
    </row>
    <row r="3" spans="1:2">
      <c r="A3" s="33" t="s">
        <v>138</v>
      </c>
    </row>
    <row r="5" spans="1:2">
      <c r="A5" s="33" t="s">
        <v>139</v>
      </c>
    </row>
    <row r="7" spans="1:2">
      <c r="A7" s="33" t="s">
        <v>458</v>
      </c>
    </row>
    <row r="8" spans="1:2">
      <c r="A8" s="33" t="s">
        <v>459</v>
      </c>
    </row>
    <row r="10" spans="1:2">
      <c r="A10" s="33" t="s">
        <v>460</v>
      </c>
    </row>
    <row r="11" spans="1:2">
      <c r="A11" s="33" t="s">
        <v>461</v>
      </c>
      <c r="B11" s="33" t="s">
        <v>462</v>
      </c>
    </row>
    <row r="12" spans="1:2">
      <c r="A12" s="33" t="s">
        <v>191</v>
      </c>
      <c r="B12" s="33" t="s">
        <v>463</v>
      </c>
    </row>
    <row r="13" spans="1:2">
      <c r="A13" s="33" t="s">
        <v>193</v>
      </c>
      <c r="B13" s="33" t="s">
        <v>464</v>
      </c>
    </row>
    <row r="14" spans="1:2">
      <c r="A14" s="33" t="s">
        <v>195</v>
      </c>
      <c r="B14" s="33" t="s">
        <v>465</v>
      </c>
    </row>
    <row r="15" spans="1:2">
      <c r="A15" s="33" t="s">
        <v>197</v>
      </c>
      <c r="B15" s="33" t="s">
        <v>466</v>
      </c>
    </row>
    <row r="16" spans="1:2">
      <c r="B16" s="33" t="s">
        <v>467</v>
      </c>
    </row>
    <row r="17" spans="1:2">
      <c r="B17" s="33" t="s">
        <v>468</v>
      </c>
    </row>
    <row r="18" spans="1:2">
      <c r="B18" s="33" t="s">
        <v>469</v>
      </c>
    </row>
    <row r="19" spans="1:2">
      <c r="A19" s="33" t="s">
        <v>470</v>
      </c>
      <c r="B19" s="33" t="s">
        <v>471</v>
      </c>
    </row>
    <row r="20" spans="1:2">
      <c r="A20" s="33" t="s">
        <v>472</v>
      </c>
      <c r="B20" s="33" t="s">
        <v>473</v>
      </c>
    </row>
    <row r="22" spans="1:2">
      <c r="A22" s="33" t="s">
        <v>474</v>
      </c>
    </row>
    <row r="23" spans="1:2">
      <c r="A23" s="33" t="s">
        <v>475</v>
      </c>
      <c r="B23" s="33" t="s">
        <v>476</v>
      </c>
    </row>
    <row r="24" spans="1:2">
      <c r="A24" s="33" t="s">
        <v>477</v>
      </c>
      <c r="B24" s="33" t="s">
        <v>478</v>
      </c>
    </row>
    <row r="25" spans="1:2">
      <c r="A25" s="33" t="s">
        <v>479</v>
      </c>
      <c r="B25" s="33" t="s">
        <v>480</v>
      </c>
    </row>
    <row r="26" spans="1:2">
      <c r="A26" s="33" t="s">
        <v>481</v>
      </c>
      <c r="B26" s="33" t="s">
        <v>482</v>
      </c>
    </row>
    <row r="27" spans="1:2">
      <c r="A27" s="33" t="s">
        <v>483</v>
      </c>
      <c r="B27" s="33" t="s">
        <v>484</v>
      </c>
    </row>
    <row r="28" spans="1:2">
      <c r="A28" s="33" t="s">
        <v>485</v>
      </c>
      <c r="B28" s="33" t="s">
        <v>486</v>
      </c>
    </row>
    <row r="29" spans="1:2">
      <c r="B29" s="33" t="s">
        <v>487</v>
      </c>
    </row>
    <row r="30" spans="1:2">
      <c r="B30" s="33" t="s">
        <v>488</v>
      </c>
    </row>
    <row r="31" spans="1:2">
      <c r="A31" s="33" t="s">
        <v>489</v>
      </c>
      <c r="B31" s="33" t="s">
        <v>490</v>
      </c>
    </row>
    <row r="33" spans="1:13">
      <c r="A33" s="35" t="s">
        <v>491</v>
      </c>
    </row>
    <row r="34" spans="1:13" ht="20">
      <c r="A34" s="31" t="s">
        <v>492</v>
      </c>
      <c r="B34" s="33" t="s">
        <v>493</v>
      </c>
    </row>
    <row r="35" spans="1:13" ht="20">
      <c r="A35" s="31" t="s">
        <v>492</v>
      </c>
      <c r="B35" s="33" t="s">
        <v>494</v>
      </c>
    </row>
    <row r="36" spans="1:13" ht="20">
      <c r="A36" s="31" t="s">
        <v>492</v>
      </c>
      <c r="B36" s="33" t="s">
        <v>495</v>
      </c>
    </row>
    <row r="38" spans="1:13">
      <c r="A38" s="35" t="s">
        <v>47</v>
      </c>
    </row>
    <row r="39" spans="1:13">
      <c r="A39" s="33" t="s">
        <v>182</v>
      </c>
      <c r="B39" s="33" t="s">
        <v>496</v>
      </c>
    </row>
    <row r="40" spans="1:13">
      <c r="B40" s="33" t="s">
        <v>497</v>
      </c>
      <c r="M40" s="33" t="s">
        <v>498</v>
      </c>
    </row>
    <row r="42" spans="1:13" hidden="1">
      <c r="A42" s="33" t="s">
        <v>499</v>
      </c>
      <c r="B42" s="33" t="s">
        <v>500</v>
      </c>
      <c r="M42" s="33" t="s">
        <v>498</v>
      </c>
    </row>
    <row r="43" spans="1:13" hidden="1"/>
    <row r="44" spans="1:13" hidden="1">
      <c r="A44" s="33" t="s">
        <v>501</v>
      </c>
      <c r="B44" s="33" t="s">
        <v>502</v>
      </c>
    </row>
    <row r="45" spans="1:13" hidden="1">
      <c r="B45" s="33" t="s">
        <v>503</v>
      </c>
      <c r="M45" s="33" t="s">
        <v>498</v>
      </c>
    </row>
    <row r="46" spans="1:13" hidden="1">
      <c r="M46" s="33" t="s">
        <v>504</v>
      </c>
    </row>
    <row r="56" spans="12:12">
      <c r="L56" s="33" t="s">
        <v>505</v>
      </c>
    </row>
    <row r="57" spans="12:12">
      <c r="L57" s="33" t="s">
        <v>506</v>
      </c>
    </row>
    <row r="77" spans="12:12">
      <c r="L77" s="33" t="s">
        <v>507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C641E-C0E4-400D-B187-76EDA5C2880E}">
  <dimension ref="A1"/>
  <sheetViews>
    <sheetView showFormulas="1" topLeftCell="A49" zoomScaleNormal="100" workbookViewId="0">
      <selection activeCell="S17" sqref="S17"/>
    </sheetView>
  </sheetViews>
  <sheetFormatPr defaultRowHeight="14.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EAC1-5F48-4D29-A42F-4948917F3530}">
  <dimension ref="A1:M57"/>
  <sheetViews>
    <sheetView topLeftCell="A43" workbookViewId="0">
      <selection activeCell="A31" sqref="A31"/>
    </sheetView>
  </sheetViews>
  <sheetFormatPr defaultRowHeight="14.5"/>
  <cols>
    <col min="1" max="1" width="46.1796875" customWidth="1"/>
    <col min="5" max="5" width="10.7265625" style="143" bestFit="1" customWidth="1"/>
  </cols>
  <sheetData>
    <row r="1" spans="1:5">
      <c r="A1" t="s">
        <v>2</v>
      </c>
    </row>
    <row r="2" spans="1:5">
      <c r="A2" t="s">
        <v>3</v>
      </c>
    </row>
    <row r="3" spans="1:5">
      <c r="A3" t="s">
        <v>4</v>
      </c>
      <c r="B3" s="146">
        <v>0.28100000000000003</v>
      </c>
      <c r="C3" s="1"/>
    </row>
    <row r="4" spans="1:5">
      <c r="A4" t="s">
        <v>5</v>
      </c>
      <c r="B4" s="6" t="s">
        <v>8</v>
      </c>
      <c r="C4" s="2"/>
    </row>
    <row r="5" spans="1:5">
      <c r="A5" t="s">
        <v>6</v>
      </c>
      <c r="B5" s="147">
        <v>0.17</v>
      </c>
      <c r="C5" s="3"/>
    </row>
    <row r="6" spans="1:5">
      <c r="A6" t="s">
        <v>7</v>
      </c>
      <c r="B6" s="146">
        <v>6.3E-2</v>
      </c>
      <c r="C6" s="1"/>
    </row>
    <row r="7" spans="1:5">
      <c r="A7" t="s">
        <v>1</v>
      </c>
      <c r="B7" s="6" t="s">
        <v>9</v>
      </c>
    </row>
    <row r="8" spans="1:5">
      <c r="A8" t="s">
        <v>10</v>
      </c>
      <c r="B8" s="6" t="s">
        <v>11</v>
      </c>
    </row>
    <row r="9" spans="1:5">
      <c r="A9" t="s">
        <v>12</v>
      </c>
      <c r="B9" s="6" t="s">
        <v>13</v>
      </c>
    </row>
    <row r="10" spans="1:5">
      <c r="A10" t="s">
        <v>53</v>
      </c>
      <c r="B10" s="6" t="s">
        <v>14</v>
      </c>
    </row>
    <row r="11" spans="1:5">
      <c r="A11" t="s">
        <v>52</v>
      </c>
      <c r="B11" s="146">
        <v>3.7499999999999999E-2</v>
      </c>
      <c r="C11" s="1"/>
    </row>
    <row r="12" spans="1:5">
      <c r="A12" t="s">
        <v>15</v>
      </c>
      <c r="B12" s="6" t="s">
        <v>16</v>
      </c>
    </row>
    <row r="13" spans="1:5">
      <c r="A13" t="s">
        <v>17</v>
      </c>
    </row>
    <row r="14" spans="1:5">
      <c r="A14" s="4" t="s">
        <v>18</v>
      </c>
    </row>
    <row r="15" spans="1:5">
      <c r="A15" t="s">
        <v>19</v>
      </c>
      <c r="E15" s="143" t="s">
        <v>19</v>
      </c>
    </row>
    <row r="16" spans="1:5">
      <c r="A16" t="s">
        <v>20</v>
      </c>
      <c r="E16" s="143">
        <v>20000</v>
      </c>
    </row>
    <row r="17" spans="1:13">
      <c r="A17" t="s">
        <v>21</v>
      </c>
      <c r="E17" s="143">
        <v>-17250</v>
      </c>
      <c r="M17" s="1"/>
    </row>
    <row r="18" spans="1:13">
      <c r="A18" s="4" t="s">
        <v>22</v>
      </c>
      <c r="B18" s="4"/>
      <c r="C18" s="4"/>
      <c r="D18" s="4"/>
      <c r="E18" s="144">
        <v>2750</v>
      </c>
    </row>
    <row r="19" spans="1:13">
      <c r="A19" t="s">
        <v>23</v>
      </c>
      <c r="E19" s="143">
        <v>1850</v>
      </c>
    </row>
    <row r="20" spans="1:13">
      <c r="A20" s="4" t="s">
        <v>0</v>
      </c>
      <c r="B20" s="4"/>
      <c r="C20" s="4"/>
      <c r="D20" s="4"/>
      <c r="E20" s="144">
        <v>900</v>
      </c>
    </row>
    <row r="21" spans="1:13">
      <c r="A21" t="s">
        <v>24</v>
      </c>
      <c r="E21" s="143">
        <v>200</v>
      </c>
    </row>
    <row r="22" spans="1:13">
      <c r="A22" t="s">
        <v>25</v>
      </c>
      <c r="E22" s="143">
        <v>100</v>
      </c>
    </row>
    <row r="23" spans="1:13">
      <c r="A23" s="4" t="s">
        <v>26</v>
      </c>
      <c r="B23" s="4"/>
      <c r="C23" s="4"/>
      <c r="D23" s="4"/>
      <c r="E23" s="144">
        <v>1000</v>
      </c>
    </row>
    <row r="24" spans="1:13">
      <c r="A24" t="s">
        <v>27</v>
      </c>
      <c r="E24" s="143">
        <v>250</v>
      </c>
    </row>
    <row r="25" spans="1:13">
      <c r="A25" s="4" t="s">
        <v>28</v>
      </c>
      <c r="B25" s="4"/>
      <c r="C25" s="4"/>
      <c r="D25" s="4"/>
      <c r="E25" s="144">
        <v>750</v>
      </c>
    </row>
    <row r="26" spans="1:13" s="4" customFormat="1">
      <c r="A26" s="4" t="s">
        <v>29</v>
      </c>
      <c r="E26" s="144"/>
    </row>
    <row r="27" spans="1:13" s="4" customFormat="1">
      <c r="E27" s="144"/>
    </row>
    <row r="28" spans="1:13" s="4" customFormat="1">
      <c r="E28" s="144"/>
    </row>
    <row r="29" spans="1:13">
      <c r="A29" t="s">
        <v>95</v>
      </c>
      <c r="E29" s="143" t="s">
        <v>19</v>
      </c>
    </row>
    <row r="30" spans="1:13">
      <c r="A30" t="s">
        <v>30</v>
      </c>
      <c r="E30" s="144">
        <v>2750</v>
      </c>
    </row>
    <row r="31" spans="1:13">
      <c r="A31" s="4" t="s">
        <v>31</v>
      </c>
      <c r="B31" s="4"/>
      <c r="C31" s="4"/>
      <c r="D31" s="4"/>
    </row>
    <row r="32" spans="1:13">
      <c r="A32" t="s">
        <v>32</v>
      </c>
      <c r="E32" s="143">
        <v>1250</v>
      </c>
    </row>
    <row r="33" spans="1:5">
      <c r="A33" t="s">
        <v>33</v>
      </c>
      <c r="E33" s="143">
        <v>1800</v>
      </c>
    </row>
    <row r="34" spans="1:5" ht="15" thickBot="1">
      <c r="A34" s="4" t="s">
        <v>34</v>
      </c>
      <c r="B34" s="4"/>
      <c r="C34" s="4"/>
      <c r="D34" s="4"/>
      <c r="E34" s="145">
        <f>SUM(E30:E33)</f>
        <v>5800</v>
      </c>
    </row>
    <row r="35" spans="1:5" ht="15" thickTop="1">
      <c r="A35" s="4" t="s">
        <v>35</v>
      </c>
    </row>
    <row r="36" spans="1:5">
      <c r="A36" s="4" t="s">
        <v>36</v>
      </c>
    </row>
    <row r="37" spans="1:5">
      <c r="A37" t="s">
        <v>37</v>
      </c>
      <c r="E37" s="143">
        <v>500</v>
      </c>
    </row>
    <row r="38" spans="1:5">
      <c r="A38" t="s">
        <v>38</v>
      </c>
      <c r="E38" s="143">
        <v>1900</v>
      </c>
    </row>
    <row r="39" spans="1:5">
      <c r="E39" s="143">
        <f>SUM(E37:E38)</f>
        <v>2400</v>
      </c>
    </row>
    <row r="40" spans="1:5">
      <c r="A40" s="4" t="s">
        <v>39</v>
      </c>
    </row>
    <row r="41" spans="1:5">
      <c r="A41" t="s">
        <v>51</v>
      </c>
      <c r="E41" s="143">
        <v>1000</v>
      </c>
    </row>
    <row r="42" spans="1:5">
      <c r="A42" s="4" t="s">
        <v>40</v>
      </c>
    </row>
    <row r="43" spans="1:5">
      <c r="A43" t="s">
        <v>41</v>
      </c>
      <c r="E43" s="143">
        <v>2150</v>
      </c>
    </row>
    <row r="44" spans="1:5">
      <c r="A44" t="s">
        <v>42</v>
      </c>
      <c r="E44" s="143">
        <v>200</v>
      </c>
    </row>
    <row r="45" spans="1:5">
      <c r="A45" t="s">
        <v>43</v>
      </c>
      <c r="E45" s="143">
        <v>50</v>
      </c>
    </row>
    <row r="46" spans="1:5" ht="15" thickBot="1">
      <c r="A46" s="4" t="s">
        <v>44</v>
      </c>
      <c r="B46" s="4"/>
      <c r="C46" s="4"/>
      <c r="D46" s="4"/>
      <c r="E46" s="145">
        <f>SUM(E39:E45)</f>
        <v>5800</v>
      </c>
    </row>
    <row r="47" spans="1:5" ht="15" thickTop="1"/>
    <row r="48" spans="1:5">
      <c r="A48" s="4" t="s">
        <v>45</v>
      </c>
    </row>
    <row r="49" spans="1:2">
      <c r="A49" t="s">
        <v>46</v>
      </c>
    </row>
    <row r="50" spans="1:2">
      <c r="A50" t="s">
        <v>547</v>
      </c>
    </row>
    <row r="51" spans="1:2">
      <c r="A51" t="s">
        <v>548</v>
      </c>
    </row>
    <row r="52" spans="1:2">
      <c r="A52" t="s">
        <v>549</v>
      </c>
    </row>
    <row r="53" spans="1:2">
      <c r="A53" t="s">
        <v>47</v>
      </c>
    </row>
    <row r="54" spans="1:2">
      <c r="A54" t="s">
        <v>545</v>
      </c>
    </row>
    <row r="55" spans="1:2">
      <c r="A55" t="s">
        <v>48</v>
      </c>
      <c r="B55" t="s">
        <v>49</v>
      </c>
    </row>
    <row r="56" spans="1:2">
      <c r="A56" t="s">
        <v>546</v>
      </c>
    </row>
    <row r="57" spans="1:2">
      <c r="A57" t="s">
        <v>50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6722-A2C9-4DDF-9CDB-03B5C04439AB}">
  <dimension ref="A8:C52"/>
  <sheetViews>
    <sheetView topLeftCell="A54" workbookViewId="0">
      <selection activeCell="B37" sqref="B37"/>
    </sheetView>
  </sheetViews>
  <sheetFormatPr defaultRowHeight="14.5"/>
  <cols>
    <col min="1" max="1" width="38.26953125" bestFit="1" customWidth="1"/>
    <col min="2" max="2" width="17.54296875" customWidth="1"/>
    <col min="3" max="3" width="17" customWidth="1"/>
  </cols>
  <sheetData>
    <row r="8" spans="1:3">
      <c r="B8">
        <v>2022</v>
      </c>
      <c r="C8">
        <v>2023</v>
      </c>
    </row>
    <row r="9" spans="1:3">
      <c r="B9" t="s">
        <v>56</v>
      </c>
      <c r="C9" t="s">
        <v>56</v>
      </c>
    </row>
    <row r="10" spans="1:3" ht="24" customHeight="1">
      <c r="A10" t="s">
        <v>57</v>
      </c>
      <c r="B10" s="5">
        <v>4400</v>
      </c>
      <c r="C10" s="7">
        <v>5100</v>
      </c>
    </row>
    <row r="11" spans="1:3">
      <c r="A11" t="s">
        <v>21</v>
      </c>
      <c r="B11" s="5">
        <v>-2200</v>
      </c>
      <c r="C11" s="5">
        <v>-2850</v>
      </c>
    </row>
    <row r="12" spans="1:3">
      <c r="A12" t="s">
        <v>22</v>
      </c>
      <c r="B12">
        <v>2200</v>
      </c>
      <c r="C12">
        <v>2250</v>
      </c>
    </row>
    <row r="13" spans="1:3">
      <c r="A13" t="s">
        <v>23</v>
      </c>
      <c r="B13">
        <v>-640</v>
      </c>
      <c r="C13">
        <v>-910</v>
      </c>
    </row>
    <row r="14" spans="1:3">
      <c r="A14" t="s">
        <v>58</v>
      </c>
      <c r="B14">
        <v>1560</v>
      </c>
      <c r="C14">
        <v>1340</v>
      </c>
    </row>
    <row r="15" spans="1:3">
      <c r="A15" t="s">
        <v>59</v>
      </c>
      <c r="B15">
        <v>-45</v>
      </c>
      <c r="C15">
        <v>-60</v>
      </c>
    </row>
    <row r="16" spans="1:3">
      <c r="A16" t="s">
        <v>26</v>
      </c>
      <c r="B16">
        <v>1515</v>
      </c>
      <c r="C16">
        <v>1280</v>
      </c>
    </row>
    <row r="17" spans="1:3">
      <c r="A17" t="s">
        <v>60</v>
      </c>
      <c r="B17">
        <v>-400</v>
      </c>
      <c r="C17">
        <v>-240</v>
      </c>
    </row>
    <row r="18" spans="1:3">
      <c r="A18" t="s">
        <v>61</v>
      </c>
      <c r="B18">
        <v>1115</v>
      </c>
      <c r="C18">
        <v>1040</v>
      </c>
    </row>
    <row r="19" spans="1:3">
      <c r="A19" t="s">
        <v>62</v>
      </c>
      <c r="B19">
        <v>-50</v>
      </c>
      <c r="C19">
        <v>-65</v>
      </c>
    </row>
    <row r="20" spans="1:3">
      <c r="A20" t="s">
        <v>63</v>
      </c>
      <c r="B20">
        <v>-150</v>
      </c>
      <c r="C20">
        <v>-105</v>
      </c>
    </row>
    <row r="21" spans="1:3">
      <c r="A21" t="s">
        <v>64</v>
      </c>
      <c r="B21">
        <v>915</v>
      </c>
      <c r="C21">
        <v>870</v>
      </c>
    </row>
    <row r="26" spans="1:3">
      <c r="B26" t="s">
        <v>65</v>
      </c>
      <c r="C26" t="s">
        <v>66</v>
      </c>
    </row>
    <row r="27" spans="1:3">
      <c r="B27" t="s">
        <v>56</v>
      </c>
      <c r="C27" t="s">
        <v>56</v>
      </c>
    </row>
    <row r="28" spans="1:3">
      <c r="A28" t="s">
        <v>67</v>
      </c>
    </row>
    <row r="29" spans="1:3" ht="29">
      <c r="A29" s="8" t="s">
        <v>68</v>
      </c>
      <c r="B29" s="98"/>
      <c r="C29" s="98"/>
    </row>
    <row r="30" spans="1:3">
      <c r="A30" t="s">
        <v>69</v>
      </c>
      <c r="B30" s="98">
        <v>1400</v>
      </c>
      <c r="C30" s="98">
        <v>1800</v>
      </c>
    </row>
    <row r="31" spans="1:3">
      <c r="B31" s="98"/>
      <c r="C31" s="98"/>
    </row>
    <row r="32" spans="1:3" ht="18.75" customHeight="1">
      <c r="A32" t="s">
        <v>70</v>
      </c>
      <c r="B32" s="98"/>
      <c r="C32" s="98"/>
    </row>
    <row r="33" spans="1:3">
      <c r="A33" t="s">
        <v>32</v>
      </c>
      <c r="B33" s="98">
        <v>800</v>
      </c>
      <c r="C33" s="98">
        <v>1200</v>
      </c>
    </row>
    <row r="34" spans="1:3">
      <c r="A34" t="s">
        <v>71</v>
      </c>
      <c r="B34" s="98">
        <v>490</v>
      </c>
      <c r="C34" s="98">
        <v>600</v>
      </c>
    </row>
    <row r="35" spans="1:3">
      <c r="A35" t="s">
        <v>72</v>
      </c>
      <c r="B35" s="98">
        <v>420</v>
      </c>
      <c r="C35" s="98">
        <v>395</v>
      </c>
    </row>
    <row r="36" spans="1:3">
      <c r="B36" s="148">
        <f>SUM(B33:B35)</f>
        <v>1710</v>
      </c>
      <c r="C36" s="148">
        <f>SUM(C33:C35)</f>
        <v>2195</v>
      </c>
    </row>
    <row r="37" spans="1:3">
      <c r="A37" t="s">
        <v>34</v>
      </c>
      <c r="B37" s="98">
        <f>(SUM(B36,B30))*1</f>
        <v>3110</v>
      </c>
      <c r="C37" s="98">
        <f>(SUM(C36,C30))*1</f>
        <v>3995</v>
      </c>
    </row>
    <row r="38" spans="1:3" ht="22.5" customHeight="1">
      <c r="A38" t="s">
        <v>73</v>
      </c>
      <c r="B38" s="98"/>
      <c r="C38" s="98"/>
    </row>
    <row r="39" spans="1:3">
      <c r="A39" t="s">
        <v>74</v>
      </c>
      <c r="B39" s="98"/>
      <c r="C39" s="98"/>
    </row>
    <row r="40" spans="1:3">
      <c r="A40" t="s">
        <v>75</v>
      </c>
      <c r="B40" s="98">
        <v>1000</v>
      </c>
      <c r="C40" s="98">
        <v>1000</v>
      </c>
    </row>
    <row r="41" spans="1:3">
      <c r="A41" t="s">
        <v>76</v>
      </c>
      <c r="B41" s="98">
        <v>915</v>
      </c>
      <c r="C41" s="98">
        <v>1785</v>
      </c>
    </row>
    <row r="42" spans="1:3">
      <c r="B42" s="98">
        <f>SUM(B40:B41)</f>
        <v>1915</v>
      </c>
      <c r="C42" s="98">
        <f>SUM(C40:C41)</f>
        <v>2785</v>
      </c>
    </row>
    <row r="43" spans="1:3">
      <c r="B43" s="98"/>
      <c r="C43" s="98"/>
    </row>
    <row r="44" spans="1:3">
      <c r="B44" s="98"/>
      <c r="C44" s="98"/>
    </row>
    <row r="45" spans="1:3">
      <c r="A45" t="s">
        <v>77</v>
      </c>
      <c r="B45" s="98"/>
      <c r="C45" s="98"/>
    </row>
    <row r="46" spans="1:3">
      <c r="A46" t="s">
        <v>78</v>
      </c>
      <c r="B46" s="98">
        <v>450</v>
      </c>
      <c r="C46" s="98">
        <v>600</v>
      </c>
    </row>
    <row r="47" spans="1:3" ht="29">
      <c r="A47" s="46" t="s">
        <v>79</v>
      </c>
      <c r="B47" s="98"/>
      <c r="C47" s="98"/>
    </row>
    <row r="48" spans="1:3">
      <c r="A48" t="s">
        <v>80</v>
      </c>
      <c r="B48" s="98">
        <v>400</v>
      </c>
      <c r="C48" s="98">
        <v>240</v>
      </c>
    </row>
    <row r="49" spans="1:3">
      <c r="A49" t="s">
        <v>41</v>
      </c>
      <c r="B49" s="98">
        <v>145</v>
      </c>
      <c r="C49" s="98">
        <v>200</v>
      </c>
    </row>
    <row r="50" spans="1:3">
      <c r="A50" t="s">
        <v>81</v>
      </c>
      <c r="B50" s="98">
        <v>200</v>
      </c>
      <c r="C50" s="98">
        <v>170</v>
      </c>
    </row>
    <row r="51" spans="1:3">
      <c r="B51" s="148">
        <f>SUM(B48:B50)</f>
        <v>745</v>
      </c>
      <c r="C51" s="148">
        <f>SUM(C48:C50)</f>
        <v>610</v>
      </c>
    </row>
    <row r="52" spans="1:3">
      <c r="A52" t="s">
        <v>82</v>
      </c>
      <c r="B52" s="98">
        <f>SUM(B51,B46,B42)</f>
        <v>3110</v>
      </c>
      <c r="C52" s="98">
        <f>SUM(C51,C46,C42)</f>
        <v>3995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7BED-4B38-4B7D-A8F6-A2E722A2100D}">
  <dimension ref="A1:AE151"/>
  <sheetViews>
    <sheetView topLeftCell="A95" zoomScale="110" zoomScaleNormal="110" workbookViewId="0">
      <selection activeCell="A163" sqref="A163"/>
    </sheetView>
  </sheetViews>
  <sheetFormatPr defaultRowHeight="15.5"/>
  <cols>
    <col min="1" max="1" width="53" style="33" customWidth="1"/>
    <col min="2" max="2" width="53.36328125" style="33" bestFit="1" customWidth="1"/>
    <col min="3" max="5" width="8.7265625" style="33"/>
    <col min="6" max="10" width="8.7265625" style="33" customWidth="1"/>
    <col min="11" max="11" width="57.81640625" style="176" bestFit="1" customWidth="1"/>
    <col min="12" max="13" width="10" style="174" bestFit="1" customWidth="1"/>
    <col min="14" max="14" width="8" style="174" customWidth="1"/>
    <col min="15" max="15" width="10" style="174" bestFit="1" customWidth="1"/>
    <col min="16" max="16" width="8.7265625" style="174" customWidth="1"/>
    <col min="17" max="20" width="8.7265625" style="33" customWidth="1"/>
    <col min="21" max="21" width="57.81640625" style="33" bestFit="1" customWidth="1"/>
    <col min="22" max="22" width="8.7265625" style="33"/>
    <col min="23" max="23" width="9.1796875" style="33" bestFit="1" customWidth="1"/>
    <col min="24" max="25" width="8.7265625" style="33"/>
    <col min="26" max="29" width="0" style="33" hidden="1" customWidth="1"/>
    <col min="30" max="16384" width="8.7265625" style="33"/>
  </cols>
  <sheetData>
    <row r="1" spans="1:31">
      <c r="A1" s="35"/>
      <c r="B1" s="35"/>
      <c r="C1" s="35"/>
      <c r="D1" s="35"/>
      <c r="E1" s="35"/>
      <c r="F1" s="35"/>
      <c r="G1" s="35"/>
      <c r="H1" s="35" t="s">
        <v>83</v>
      </c>
      <c r="I1" s="35"/>
      <c r="J1" s="35"/>
      <c r="K1" s="17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1">
      <c r="A2" s="35" t="s">
        <v>116</v>
      </c>
      <c r="B2" s="35"/>
      <c r="C2" s="35"/>
      <c r="D2" s="35"/>
      <c r="E2" s="35"/>
      <c r="F2" s="35"/>
      <c r="G2" s="35"/>
      <c r="H2" s="35"/>
      <c r="I2" s="35"/>
      <c r="J2" s="35"/>
      <c r="K2" s="17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1" ht="26" customHeight="1">
      <c r="A3" s="33" t="s">
        <v>550</v>
      </c>
    </row>
    <row r="4" spans="1:31">
      <c r="A4" s="33" t="s">
        <v>551</v>
      </c>
    </row>
    <row r="5" spans="1:31" ht="15" customHeight="1">
      <c r="A5" s="33" t="s">
        <v>552</v>
      </c>
    </row>
    <row r="7" spans="1:31">
      <c r="A7" s="33" t="s">
        <v>553</v>
      </c>
    </row>
    <row r="8" spans="1:31">
      <c r="Q8" s="33" t="s">
        <v>554</v>
      </c>
    </row>
    <row r="9" spans="1:31">
      <c r="Q9" s="33" t="s">
        <v>555</v>
      </c>
    </row>
    <row r="11" spans="1:31">
      <c r="H11" s="35" t="s">
        <v>556</v>
      </c>
      <c r="I11" s="35"/>
      <c r="J11" s="35"/>
      <c r="K11" s="17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</row>
    <row r="12" spans="1:31">
      <c r="A12" s="33" t="s">
        <v>676</v>
      </c>
      <c r="B12" s="33">
        <v>2022</v>
      </c>
      <c r="C12" s="33">
        <v>2023</v>
      </c>
      <c r="D12" s="33">
        <v>2024</v>
      </c>
      <c r="E12" s="33">
        <v>2025</v>
      </c>
      <c r="K12" s="33" t="s">
        <v>677</v>
      </c>
      <c r="L12" s="33">
        <v>2022</v>
      </c>
      <c r="M12" s="174">
        <v>2023</v>
      </c>
      <c r="N12" s="33">
        <v>2024</v>
      </c>
      <c r="O12" s="33">
        <v>2025</v>
      </c>
      <c r="U12" s="33" t="s">
        <v>678</v>
      </c>
      <c r="V12" s="33">
        <v>2022</v>
      </c>
      <c r="W12" s="33">
        <v>2023</v>
      </c>
      <c r="X12" s="33">
        <v>2024</v>
      </c>
      <c r="Y12" s="33">
        <v>2025</v>
      </c>
    </row>
    <row r="13" spans="1:31">
      <c r="B13" s="35" t="s">
        <v>406</v>
      </c>
      <c r="C13" s="35" t="s">
        <v>406</v>
      </c>
      <c r="D13" s="35" t="s">
        <v>406</v>
      </c>
      <c r="E13" s="35" t="s">
        <v>406</v>
      </c>
      <c r="F13" s="35"/>
      <c r="G13" s="35"/>
      <c r="H13" s="33" t="s">
        <v>557</v>
      </c>
      <c r="K13" s="33"/>
      <c r="L13" s="35" t="s">
        <v>406</v>
      </c>
      <c r="M13" s="35" t="s">
        <v>406</v>
      </c>
      <c r="N13" s="35" t="s">
        <v>406</v>
      </c>
      <c r="O13" s="35" t="s">
        <v>406</v>
      </c>
      <c r="Q13" s="33" t="s">
        <v>558</v>
      </c>
      <c r="V13" s="35" t="s">
        <v>406</v>
      </c>
      <c r="W13" s="35" t="s">
        <v>406</v>
      </c>
      <c r="X13" s="35" t="s">
        <v>406</v>
      </c>
      <c r="Y13" s="35" t="s">
        <v>406</v>
      </c>
      <c r="AB13" s="33" t="s">
        <v>559</v>
      </c>
      <c r="AE13" s="33">
        <v>100</v>
      </c>
    </row>
    <row r="14" spans="1:31">
      <c r="A14" s="33" t="s">
        <v>20</v>
      </c>
      <c r="B14" s="43">
        <v>4500</v>
      </c>
      <c r="C14" s="151">
        <f>(1+$H14)*B14</f>
        <v>4590</v>
      </c>
      <c r="D14" s="151">
        <f t="shared" ref="D14:E14" si="0">(1+$H14)*C14</f>
        <v>4681.8</v>
      </c>
      <c r="E14" s="151">
        <f t="shared" si="0"/>
        <v>4775.4360000000006</v>
      </c>
      <c r="H14" s="172">
        <v>0.02</v>
      </c>
      <c r="I14" s="172"/>
      <c r="J14" s="172"/>
      <c r="K14" s="33" t="s">
        <v>20</v>
      </c>
      <c r="L14" s="43">
        <v>4500</v>
      </c>
      <c r="M14" s="43">
        <f t="shared" ref="M14:O15" si="1">(1+$Q14)*L14</f>
        <v>4725</v>
      </c>
      <c r="N14" s="43">
        <f t="shared" si="1"/>
        <v>4961.25</v>
      </c>
      <c r="O14" s="43">
        <f t="shared" si="1"/>
        <v>5209.3125</v>
      </c>
      <c r="Q14" s="172">
        <v>0.05</v>
      </c>
      <c r="R14" s="172"/>
      <c r="S14" s="172"/>
      <c r="T14" s="172"/>
      <c r="U14" s="33" t="s">
        <v>20</v>
      </c>
      <c r="V14" s="43">
        <v>4500</v>
      </c>
      <c r="W14" s="43">
        <f>(1+$AB14)*V14</f>
        <v>4950</v>
      </c>
      <c r="X14" s="43">
        <f t="shared" ref="X14:Y14" si="2">(1+$AB14)*W14</f>
        <v>5445</v>
      </c>
      <c r="Y14" s="43">
        <f t="shared" si="2"/>
        <v>5989.5000000000009</v>
      </c>
      <c r="Z14" s="172"/>
      <c r="AA14" s="172"/>
      <c r="AB14" s="172">
        <v>0.1</v>
      </c>
    </row>
    <row r="15" spans="1:31">
      <c r="A15" s="33" t="s">
        <v>560</v>
      </c>
      <c r="B15" s="43">
        <v>-3200</v>
      </c>
      <c r="C15" s="151">
        <f t="shared" ref="C15:E15" si="3">(1+$H15)*B15</f>
        <v>-3360</v>
      </c>
      <c r="D15" s="151">
        <f t="shared" si="3"/>
        <v>-3528</v>
      </c>
      <c r="E15" s="151">
        <f t="shared" si="3"/>
        <v>-3704.4</v>
      </c>
      <c r="H15" s="172">
        <v>0.05</v>
      </c>
      <c r="I15" s="172"/>
      <c r="J15" s="172"/>
      <c r="K15" s="33" t="s">
        <v>560</v>
      </c>
      <c r="L15" s="43">
        <v>-3200</v>
      </c>
      <c r="M15" s="43">
        <f t="shared" si="1"/>
        <v>-3360</v>
      </c>
      <c r="N15" s="43">
        <f t="shared" si="1"/>
        <v>-3528</v>
      </c>
      <c r="O15" s="43">
        <f t="shared" si="1"/>
        <v>-3704.4</v>
      </c>
      <c r="Q15" s="172">
        <v>0.05</v>
      </c>
      <c r="R15" s="172"/>
      <c r="S15" s="172"/>
      <c r="T15" s="172"/>
      <c r="U15" s="33" t="s">
        <v>560</v>
      </c>
      <c r="V15" s="43">
        <v>-3200</v>
      </c>
      <c r="W15" s="43">
        <f t="shared" ref="W15:Y15" si="4">(1+$AB15)*V15</f>
        <v>-3520.0000000000005</v>
      </c>
      <c r="X15" s="43">
        <f t="shared" si="4"/>
        <v>-3872.0000000000009</v>
      </c>
      <c r="Y15" s="43">
        <f t="shared" si="4"/>
        <v>-4259.2000000000016</v>
      </c>
      <c r="Z15" s="172"/>
      <c r="AA15" s="172"/>
      <c r="AB15" s="172">
        <v>0.1</v>
      </c>
    </row>
    <row r="16" spans="1:31" s="35" customFormat="1">
      <c r="A16" s="35" t="s">
        <v>339</v>
      </c>
      <c r="B16" s="156">
        <f>SUM(B14:B15)</f>
        <v>1300</v>
      </c>
      <c r="C16" s="156">
        <f t="shared" ref="C16:E16" si="5">SUM(C14:C15)</f>
        <v>1230</v>
      </c>
      <c r="D16" s="156">
        <f t="shared" si="5"/>
        <v>1153.8000000000002</v>
      </c>
      <c r="E16" s="156">
        <f t="shared" si="5"/>
        <v>1071.0360000000005</v>
      </c>
      <c r="H16" s="172"/>
      <c r="I16" s="172"/>
      <c r="J16" s="172"/>
      <c r="K16" s="35" t="s">
        <v>339</v>
      </c>
      <c r="L16" s="156">
        <f>SUM(L14:L15)</f>
        <v>1300</v>
      </c>
      <c r="M16" s="156">
        <f t="shared" ref="M16:O16" si="6">SUM(M14:M15)</f>
        <v>1365</v>
      </c>
      <c r="N16" s="156">
        <f t="shared" si="6"/>
        <v>1433.25</v>
      </c>
      <c r="O16" s="156">
        <f t="shared" si="6"/>
        <v>1504.9124999999999</v>
      </c>
      <c r="P16" s="174"/>
      <c r="Q16" s="172"/>
      <c r="R16" s="172"/>
      <c r="S16" s="172"/>
      <c r="T16" s="172"/>
      <c r="U16" s="35" t="s">
        <v>339</v>
      </c>
      <c r="V16" s="156">
        <f>SUM(V14:V15)</f>
        <v>1300</v>
      </c>
      <c r="W16" s="156">
        <f t="shared" ref="W16:Y16" si="7">SUM(W14:W15)</f>
        <v>1429.9999999999995</v>
      </c>
      <c r="X16" s="156">
        <f t="shared" si="7"/>
        <v>1572.9999999999991</v>
      </c>
      <c r="Y16" s="156">
        <f t="shared" si="7"/>
        <v>1730.2999999999993</v>
      </c>
      <c r="Z16" s="172"/>
      <c r="AA16" s="172"/>
      <c r="AB16" s="172"/>
    </row>
    <row r="17" spans="1:28">
      <c r="A17" s="33" t="s">
        <v>561</v>
      </c>
      <c r="B17" s="43">
        <v>15</v>
      </c>
      <c r="C17" s="151">
        <f t="shared" ref="C17:E17" si="8">(1+$H17)*B17</f>
        <v>15.3</v>
      </c>
      <c r="D17" s="151">
        <f t="shared" si="8"/>
        <v>15.606000000000002</v>
      </c>
      <c r="E17" s="151">
        <f t="shared" si="8"/>
        <v>15.918120000000002</v>
      </c>
      <c r="H17" s="172">
        <v>0.02</v>
      </c>
      <c r="I17" s="172"/>
      <c r="J17" s="172"/>
      <c r="K17" s="33" t="s">
        <v>561</v>
      </c>
      <c r="L17" s="43">
        <v>15</v>
      </c>
      <c r="M17" s="43">
        <f>(1+$Q17)*L17</f>
        <v>15.450000000000001</v>
      </c>
      <c r="N17" s="43">
        <f>(1+$Q17)*M17</f>
        <v>15.913500000000001</v>
      </c>
      <c r="O17" s="43">
        <f>(1+$Q17)*N17</f>
        <v>16.390905</v>
      </c>
      <c r="Q17" s="172">
        <v>0.03</v>
      </c>
      <c r="R17" s="172"/>
      <c r="S17" s="172"/>
      <c r="T17" s="172"/>
      <c r="U17" s="33" t="s">
        <v>561</v>
      </c>
      <c r="V17" s="43">
        <v>15</v>
      </c>
      <c r="W17" s="43">
        <f t="shared" ref="W17:Y17" si="9">(1+$AB17)*V17</f>
        <v>15.600000000000001</v>
      </c>
      <c r="X17" s="43">
        <f t="shared" si="9"/>
        <v>16.224000000000004</v>
      </c>
      <c r="Y17" s="43">
        <f t="shared" si="9"/>
        <v>16.872960000000006</v>
      </c>
      <c r="Z17" s="172"/>
      <c r="AA17" s="172"/>
      <c r="AB17" s="172">
        <v>0.04</v>
      </c>
    </row>
    <row r="18" spans="1:28" s="35" customFormat="1">
      <c r="A18" s="35" t="s">
        <v>562</v>
      </c>
      <c r="B18" s="156">
        <f>SUM(B16:B17)</f>
        <v>1315</v>
      </c>
      <c r="C18" s="156">
        <f t="shared" ref="C18:E18" si="10">SUM(C16:C17)</f>
        <v>1245.3</v>
      </c>
      <c r="D18" s="156">
        <f t="shared" si="10"/>
        <v>1169.4060000000002</v>
      </c>
      <c r="E18" s="156">
        <f t="shared" si="10"/>
        <v>1086.9541200000006</v>
      </c>
      <c r="H18" s="172"/>
      <c r="I18" s="172"/>
      <c r="J18" s="172"/>
      <c r="K18" s="35" t="s">
        <v>562</v>
      </c>
      <c r="L18" s="156">
        <f>SUM(L16:L17)</f>
        <v>1315</v>
      </c>
      <c r="M18" s="156">
        <f t="shared" ref="M18:O18" si="11">SUM(M16:M17)</f>
        <v>1380.45</v>
      </c>
      <c r="N18" s="156">
        <f t="shared" si="11"/>
        <v>1449.1635000000001</v>
      </c>
      <c r="O18" s="156">
        <f t="shared" si="11"/>
        <v>1521.3034049999999</v>
      </c>
      <c r="P18" s="174"/>
      <c r="Q18" s="172"/>
      <c r="R18" s="172"/>
      <c r="S18" s="172"/>
      <c r="T18" s="172"/>
      <c r="U18" s="35" t="s">
        <v>562</v>
      </c>
      <c r="V18" s="156">
        <f>SUM(V16:V17)</f>
        <v>1315</v>
      </c>
      <c r="W18" s="156">
        <f t="shared" ref="W18:Y18" si="12">SUM(W16:W17)</f>
        <v>1445.5999999999995</v>
      </c>
      <c r="X18" s="156">
        <f t="shared" si="12"/>
        <v>1589.223999999999</v>
      </c>
      <c r="Y18" s="156">
        <f t="shared" si="12"/>
        <v>1747.1729599999992</v>
      </c>
      <c r="Z18" s="172"/>
      <c r="AA18" s="172"/>
      <c r="AB18" s="172"/>
    </row>
    <row r="19" spans="1:28">
      <c r="A19" s="33" t="s">
        <v>563</v>
      </c>
      <c r="B19" s="43">
        <v>-210</v>
      </c>
      <c r="C19" s="151">
        <f t="shared" ref="C19:E19" si="13">(1+$H19)*B19</f>
        <v>-220.5</v>
      </c>
      <c r="D19" s="151">
        <f t="shared" si="13"/>
        <v>-231.52500000000001</v>
      </c>
      <c r="E19" s="151">
        <f t="shared" si="13"/>
        <v>-243.10125000000002</v>
      </c>
      <c r="H19" s="172">
        <v>0.05</v>
      </c>
      <c r="I19" s="172"/>
      <c r="J19" s="172"/>
      <c r="K19" s="33" t="s">
        <v>563</v>
      </c>
      <c r="L19" s="43">
        <v>-210</v>
      </c>
      <c r="M19" s="43">
        <f t="shared" ref="M19:O20" si="14">(1+$Q19)*L19</f>
        <v>-220.5</v>
      </c>
      <c r="N19" s="43">
        <f t="shared" si="14"/>
        <v>-231.52500000000001</v>
      </c>
      <c r="O19" s="43">
        <f t="shared" si="14"/>
        <v>-243.10125000000002</v>
      </c>
      <c r="Q19" s="172">
        <v>0.05</v>
      </c>
      <c r="R19" s="172"/>
      <c r="S19" s="172"/>
      <c r="T19" s="172"/>
      <c r="U19" s="33" t="s">
        <v>563</v>
      </c>
      <c r="V19" s="43">
        <v>-210</v>
      </c>
      <c r="W19" s="43">
        <f t="shared" ref="W19:Y19" si="15">(1+$AB19)*V19</f>
        <v>-220.5</v>
      </c>
      <c r="X19" s="43">
        <f t="shared" si="15"/>
        <v>-231.52500000000001</v>
      </c>
      <c r="Y19" s="43">
        <f t="shared" si="15"/>
        <v>-243.10125000000002</v>
      </c>
      <c r="Z19" s="172"/>
      <c r="AA19" s="172"/>
      <c r="AB19" s="172">
        <v>0.05</v>
      </c>
    </row>
    <row r="20" spans="1:28">
      <c r="A20" s="33" t="s">
        <v>414</v>
      </c>
      <c r="B20" s="43">
        <v>-210</v>
      </c>
      <c r="C20" s="151">
        <f t="shared" ref="C20:E20" si="16">(1+$H20)*B20</f>
        <v>-214.20000000000002</v>
      </c>
      <c r="D20" s="151">
        <f t="shared" si="16"/>
        <v>-218.48400000000001</v>
      </c>
      <c r="E20" s="151">
        <f t="shared" si="16"/>
        <v>-222.85368000000003</v>
      </c>
      <c r="H20" s="172">
        <v>0.02</v>
      </c>
      <c r="I20" s="172"/>
      <c r="J20" s="172"/>
      <c r="K20" s="33" t="s">
        <v>414</v>
      </c>
      <c r="L20" s="43">
        <v>-210</v>
      </c>
      <c r="M20" s="43">
        <f t="shared" si="14"/>
        <v>-220.5</v>
      </c>
      <c r="N20" s="43">
        <f t="shared" si="14"/>
        <v>-231.52500000000001</v>
      </c>
      <c r="O20" s="43">
        <f t="shared" si="14"/>
        <v>-243.10125000000002</v>
      </c>
      <c r="Q20" s="172">
        <v>0.05</v>
      </c>
      <c r="R20" s="172"/>
      <c r="S20" s="172"/>
      <c r="T20" s="172"/>
      <c r="U20" s="33" t="s">
        <v>414</v>
      </c>
      <c r="V20" s="43">
        <v>-210</v>
      </c>
      <c r="W20" s="43">
        <f t="shared" ref="W20:Y20" si="17">(1+$AB20)*V20</f>
        <v>-231.00000000000003</v>
      </c>
      <c r="X20" s="43">
        <f t="shared" si="17"/>
        <v>-254.10000000000005</v>
      </c>
      <c r="Y20" s="43">
        <f t="shared" si="17"/>
        <v>-279.5100000000001</v>
      </c>
      <c r="Z20" s="172"/>
      <c r="AA20" s="172"/>
      <c r="AB20" s="172">
        <v>0.1</v>
      </c>
    </row>
    <row r="21" spans="1:28" s="35" customFormat="1">
      <c r="A21" s="35" t="s">
        <v>564</v>
      </c>
      <c r="B21" s="156">
        <f>SUM(B18:B20)</f>
        <v>895</v>
      </c>
      <c r="C21" s="156">
        <f t="shared" ref="C21:E21" si="18">SUM(C18:C20)</f>
        <v>810.59999999999991</v>
      </c>
      <c r="D21" s="156">
        <f t="shared" si="18"/>
        <v>719.39700000000016</v>
      </c>
      <c r="E21" s="156">
        <f t="shared" si="18"/>
        <v>620.99919000000045</v>
      </c>
      <c r="H21" s="172"/>
      <c r="I21" s="172"/>
      <c r="J21" s="172"/>
      <c r="K21" s="35" t="s">
        <v>564</v>
      </c>
      <c r="L21" s="156">
        <f>SUM(L18:L20)</f>
        <v>895</v>
      </c>
      <c r="M21" s="156">
        <f t="shared" ref="M21:O21" si="19">SUM(M18:M20)</f>
        <v>939.45</v>
      </c>
      <c r="N21" s="156">
        <f t="shared" si="19"/>
        <v>986.11350000000004</v>
      </c>
      <c r="O21" s="156">
        <f t="shared" si="19"/>
        <v>1035.100905</v>
      </c>
      <c r="P21" s="174"/>
      <c r="Q21" s="172"/>
      <c r="R21" s="172"/>
      <c r="S21" s="172"/>
      <c r="T21" s="172"/>
      <c r="U21" s="35" t="s">
        <v>564</v>
      </c>
      <c r="V21" s="156">
        <f>SUM(V18:V20)</f>
        <v>895</v>
      </c>
      <c r="W21" s="156">
        <f t="shared" ref="W21:Y21" si="20">SUM(W18:W20)</f>
        <v>994.09999999999945</v>
      </c>
      <c r="X21" s="156">
        <f t="shared" si="20"/>
        <v>1103.5989999999988</v>
      </c>
      <c r="Y21" s="156">
        <f t="shared" si="20"/>
        <v>1224.561709999999</v>
      </c>
      <c r="Z21" s="172"/>
      <c r="AA21" s="172"/>
      <c r="AB21" s="172"/>
    </row>
    <row r="22" spans="1:28">
      <c r="A22" s="33" t="s">
        <v>416</v>
      </c>
      <c r="B22" s="43">
        <v>-150</v>
      </c>
      <c r="C22" s="151">
        <f t="shared" ref="C22:E22" si="21">(1+$H22)*B22</f>
        <v>-157.5</v>
      </c>
      <c r="D22" s="151">
        <f t="shared" si="21"/>
        <v>-165.375</v>
      </c>
      <c r="E22" s="151">
        <f t="shared" si="21"/>
        <v>-173.64375000000001</v>
      </c>
      <c r="H22" s="172">
        <v>0.05</v>
      </c>
      <c r="I22" s="172"/>
      <c r="J22" s="172"/>
      <c r="K22" s="33" t="s">
        <v>416</v>
      </c>
      <c r="L22" s="43">
        <v>-150</v>
      </c>
      <c r="M22" s="43">
        <f>(1+$Q22)*L22</f>
        <v>-165</v>
      </c>
      <c r="N22" s="43">
        <f>(1+$Q22)*M22</f>
        <v>-181.50000000000003</v>
      </c>
      <c r="O22" s="43">
        <f>(1+$Q22)*N22</f>
        <v>-199.65000000000003</v>
      </c>
      <c r="Q22" s="172">
        <v>0.1</v>
      </c>
      <c r="R22" s="172"/>
      <c r="S22" s="172"/>
      <c r="T22" s="172"/>
      <c r="U22" s="33" t="s">
        <v>416</v>
      </c>
      <c r="V22" s="43">
        <v>-150</v>
      </c>
      <c r="W22" s="43">
        <f t="shared" ref="W22:Y22" si="22">(1+$AB22)*V22</f>
        <v>-165</v>
      </c>
      <c r="X22" s="43">
        <f t="shared" si="22"/>
        <v>-181.50000000000003</v>
      </c>
      <c r="Y22" s="43">
        <f t="shared" si="22"/>
        <v>-199.65000000000003</v>
      </c>
      <c r="Z22" s="172"/>
      <c r="AA22" s="172"/>
      <c r="AB22" s="172">
        <v>0.1</v>
      </c>
    </row>
    <row r="23" spans="1:28">
      <c r="A23" s="35" t="s">
        <v>565</v>
      </c>
      <c r="B23" s="156">
        <f>SUM(B21:B22)</f>
        <v>745</v>
      </c>
      <c r="C23" s="156">
        <f t="shared" ref="C23:E23" si="23">SUM(C21:C22)</f>
        <v>653.09999999999991</v>
      </c>
      <c r="D23" s="156">
        <f t="shared" si="23"/>
        <v>554.02200000000016</v>
      </c>
      <c r="E23" s="156">
        <f t="shared" si="23"/>
        <v>447.35544000000044</v>
      </c>
      <c r="H23" s="172"/>
      <c r="I23" s="172"/>
      <c r="J23" s="172"/>
      <c r="K23" s="35" t="s">
        <v>565</v>
      </c>
      <c r="L23" s="156">
        <f>SUM(L21:L22)</f>
        <v>745</v>
      </c>
      <c r="M23" s="156">
        <f t="shared" ref="M23:O23" si="24">SUM(M21:M22)</f>
        <v>774.45</v>
      </c>
      <c r="N23" s="156">
        <f t="shared" si="24"/>
        <v>804.61350000000004</v>
      </c>
      <c r="O23" s="156">
        <f t="shared" si="24"/>
        <v>835.45090499999992</v>
      </c>
      <c r="Q23" s="172"/>
      <c r="R23" s="172"/>
      <c r="S23" s="172"/>
      <c r="T23" s="172"/>
      <c r="U23" s="35" t="s">
        <v>565</v>
      </c>
      <c r="V23" s="156">
        <f>SUM(V21:V22)</f>
        <v>745</v>
      </c>
      <c r="W23" s="156">
        <f t="shared" ref="W23:Y23" si="25">SUM(W21:W22)</f>
        <v>829.09999999999945</v>
      </c>
      <c r="X23" s="156">
        <f t="shared" si="25"/>
        <v>922.0989999999988</v>
      </c>
      <c r="Y23" s="156">
        <f t="shared" si="25"/>
        <v>1024.9117099999989</v>
      </c>
      <c r="Z23" s="172"/>
      <c r="AA23" s="172"/>
      <c r="AB23" s="172"/>
    </row>
    <row r="24" spans="1:28">
      <c r="A24" s="33" t="s">
        <v>59</v>
      </c>
      <c r="B24" s="43">
        <v>-120</v>
      </c>
      <c r="C24" s="151">
        <f t="shared" ref="C24:E24" si="26">(1+$H24)*B24</f>
        <v>-132</v>
      </c>
      <c r="D24" s="151">
        <f t="shared" si="26"/>
        <v>-145.20000000000002</v>
      </c>
      <c r="E24" s="151">
        <f t="shared" si="26"/>
        <v>-159.72000000000003</v>
      </c>
      <c r="H24" s="172">
        <v>0.1</v>
      </c>
      <c r="I24" s="172"/>
      <c r="J24" s="172"/>
      <c r="K24" s="33" t="s">
        <v>59</v>
      </c>
      <c r="L24" s="43">
        <v>-120</v>
      </c>
      <c r="M24" s="43">
        <f>(1+$Q24)*L24</f>
        <v>-132</v>
      </c>
      <c r="N24" s="43">
        <f>(1+$Q24)*M24</f>
        <v>-145.20000000000002</v>
      </c>
      <c r="O24" s="43">
        <f>(1+$Q24)*N24</f>
        <v>-159.72000000000003</v>
      </c>
      <c r="Q24" s="172">
        <v>0.1</v>
      </c>
      <c r="R24" s="172"/>
      <c r="S24" s="172"/>
      <c r="T24" s="172"/>
      <c r="U24" s="33" t="s">
        <v>59</v>
      </c>
      <c r="V24" s="43">
        <v>-120</v>
      </c>
      <c r="W24" s="43">
        <f t="shared" ref="W24:Y24" si="27">(1+$AB24)*V24</f>
        <v>-132</v>
      </c>
      <c r="X24" s="43">
        <f t="shared" si="27"/>
        <v>-145.20000000000002</v>
      </c>
      <c r="Y24" s="43">
        <f t="shared" si="27"/>
        <v>-159.72000000000003</v>
      </c>
      <c r="Z24" s="172"/>
      <c r="AA24" s="172"/>
      <c r="AB24" s="172">
        <v>0.1</v>
      </c>
    </row>
    <row r="25" spans="1:28" s="35" customFormat="1">
      <c r="A25" s="35" t="s">
        <v>566</v>
      </c>
      <c r="B25" s="156">
        <f>SUM(B23:B24)</f>
        <v>625</v>
      </c>
      <c r="C25" s="156">
        <f t="shared" ref="C25:E25" si="28">SUM(C23:C24)</f>
        <v>521.09999999999991</v>
      </c>
      <c r="D25" s="156">
        <f t="shared" si="28"/>
        <v>408.82200000000012</v>
      </c>
      <c r="E25" s="156">
        <f t="shared" si="28"/>
        <v>287.63544000000041</v>
      </c>
      <c r="H25" s="172"/>
      <c r="I25" s="172"/>
      <c r="J25" s="172"/>
      <c r="K25" s="35" t="s">
        <v>566</v>
      </c>
      <c r="L25" s="156">
        <f>SUM(L23:L24)</f>
        <v>625</v>
      </c>
      <c r="M25" s="156">
        <f t="shared" ref="M25:O25" si="29">SUM(M23:M24)</f>
        <v>642.45000000000005</v>
      </c>
      <c r="N25" s="156">
        <f t="shared" si="29"/>
        <v>659.4135</v>
      </c>
      <c r="O25" s="156">
        <f t="shared" si="29"/>
        <v>675.73090499999989</v>
      </c>
      <c r="P25" s="174"/>
      <c r="Q25" s="172"/>
      <c r="R25" s="172"/>
      <c r="S25" s="172"/>
      <c r="T25" s="172"/>
      <c r="U25" s="35" t="s">
        <v>566</v>
      </c>
      <c r="V25" s="156">
        <f>SUM(V23:V24)</f>
        <v>625</v>
      </c>
      <c r="W25" s="156">
        <f t="shared" ref="W25:Y25" si="30">SUM(W23:W24)</f>
        <v>697.09999999999945</v>
      </c>
      <c r="X25" s="156">
        <f t="shared" si="30"/>
        <v>776.89899999999875</v>
      </c>
      <c r="Y25" s="156">
        <f t="shared" si="30"/>
        <v>865.19170999999892</v>
      </c>
      <c r="Z25" s="172"/>
      <c r="AA25" s="172"/>
      <c r="AB25" s="172"/>
    </row>
    <row r="26" spans="1:28">
      <c r="A26" s="33" t="s">
        <v>27</v>
      </c>
      <c r="B26" s="43">
        <v>-160</v>
      </c>
      <c r="C26" s="151">
        <f>-30%*C25</f>
        <v>-156.32999999999996</v>
      </c>
      <c r="D26" s="151">
        <f t="shared" ref="D26:E26" si="31">-30%*D25</f>
        <v>-122.64660000000003</v>
      </c>
      <c r="E26" s="151">
        <f t="shared" si="31"/>
        <v>-86.290632000000116</v>
      </c>
      <c r="H26" s="172"/>
      <c r="I26" s="172"/>
      <c r="J26" s="172"/>
      <c r="K26" s="33" t="s">
        <v>27</v>
      </c>
      <c r="L26" s="43">
        <v>-160</v>
      </c>
      <c r="M26" s="43">
        <f>30%*-M25</f>
        <v>-192.73500000000001</v>
      </c>
      <c r="N26" s="43">
        <f t="shared" ref="N26:O26" si="32">30%*-N25</f>
        <v>-197.82405</v>
      </c>
      <c r="O26" s="43">
        <f t="shared" si="32"/>
        <v>-202.71927149999996</v>
      </c>
      <c r="Q26" s="172"/>
      <c r="R26" s="172"/>
      <c r="S26" s="172"/>
      <c r="T26" s="172"/>
      <c r="U26" s="33" t="s">
        <v>27</v>
      </c>
      <c r="V26" s="43">
        <v>-160</v>
      </c>
      <c r="W26" s="43">
        <f>30%*-W25</f>
        <v>-209.12999999999982</v>
      </c>
      <c r="X26" s="43">
        <f t="shared" ref="X26:Y26" si="33">30%*-X25</f>
        <v>-233.06969999999961</v>
      </c>
      <c r="Y26" s="43">
        <f t="shared" si="33"/>
        <v>-259.55751299999969</v>
      </c>
      <c r="Z26" s="172"/>
      <c r="AA26" s="172"/>
      <c r="AB26" s="172"/>
    </row>
    <row r="27" spans="1:28" s="35" customFormat="1">
      <c r="A27" s="35" t="s">
        <v>567</v>
      </c>
      <c r="B27" s="156">
        <f>SUM(B25:B26)</f>
        <v>465</v>
      </c>
      <c r="C27" s="156">
        <f t="shared" ref="C27:E27" si="34">SUM(C25:C26)</f>
        <v>364.77</v>
      </c>
      <c r="D27" s="156">
        <f t="shared" si="34"/>
        <v>286.17540000000008</v>
      </c>
      <c r="E27" s="156">
        <f t="shared" si="34"/>
        <v>201.34480800000028</v>
      </c>
      <c r="H27" s="172"/>
      <c r="I27" s="172"/>
      <c r="J27" s="172"/>
      <c r="K27" s="35" t="s">
        <v>567</v>
      </c>
      <c r="L27" s="156">
        <f>SUM(L25:L26)</f>
        <v>465</v>
      </c>
      <c r="M27" s="156">
        <f t="shared" ref="M27:O27" si="35">SUM(M25:M26)</f>
        <v>449.71500000000003</v>
      </c>
      <c r="N27" s="156">
        <f t="shared" si="35"/>
        <v>461.58945</v>
      </c>
      <c r="O27" s="156">
        <f t="shared" si="35"/>
        <v>473.0116334999999</v>
      </c>
      <c r="P27" s="174"/>
      <c r="Q27" s="172"/>
      <c r="R27" s="172"/>
      <c r="S27" s="172"/>
      <c r="T27" s="172"/>
      <c r="U27" s="35" t="s">
        <v>567</v>
      </c>
      <c r="V27" s="156">
        <f>SUM(V25:V26)</f>
        <v>465</v>
      </c>
      <c r="W27" s="156">
        <f t="shared" ref="W27:Y27" si="36">SUM(W25:W26)</f>
        <v>487.96999999999963</v>
      </c>
      <c r="X27" s="156">
        <f t="shared" si="36"/>
        <v>543.82929999999919</v>
      </c>
      <c r="Y27" s="156">
        <f t="shared" si="36"/>
        <v>605.63419699999918</v>
      </c>
      <c r="Z27" s="172"/>
      <c r="AA27" s="172"/>
      <c r="AB27" s="172"/>
    </row>
    <row r="28" spans="1:28">
      <c r="A28" s="33" t="s">
        <v>420</v>
      </c>
      <c r="B28" s="43">
        <v>-280</v>
      </c>
      <c r="C28" s="151">
        <f t="shared" ref="C28:E28" si="37">(1+$H28)*B28</f>
        <v>-308</v>
      </c>
      <c r="D28" s="151">
        <f t="shared" si="37"/>
        <v>-338.8</v>
      </c>
      <c r="E28" s="151">
        <f t="shared" si="37"/>
        <v>-372.68000000000006</v>
      </c>
      <c r="H28" s="172">
        <v>0.1</v>
      </c>
      <c r="I28" s="172"/>
      <c r="J28" s="172"/>
      <c r="K28" s="33" t="s">
        <v>420</v>
      </c>
      <c r="L28" s="43">
        <v>-280</v>
      </c>
      <c r="M28" s="43">
        <f>(1+$Q28)*L28</f>
        <v>-308</v>
      </c>
      <c r="N28" s="43">
        <f>(1+$Q28)*M28</f>
        <v>-338.8</v>
      </c>
      <c r="O28" s="43">
        <f>(1+$Q28)*N28</f>
        <v>-372.68000000000006</v>
      </c>
      <c r="Q28" s="172">
        <v>0.1</v>
      </c>
      <c r="R28" s="172"/>
      <c r="S28" s="172"/>
      <c r="T28" s="172"/>
      <c r="U28" s="33" t="s">
        <v>420</v>
      </c>
      <c r="V28" s="43">
        <v>-280</v>
      </c>
      <c r="W28" s="43">
        <f t="shared" ref="W28:Y28" si="38">(1+$AB28)*V28</f>
        <v>-308</v>
      </c>
      <c r="X28" s="43">
        <f t="shared" si="38"/>
        <v>-338.8</v>
      </c>
      <c r="Y28" s="43">
        <f t="shared" si="38"/>
        <v>-372.68000000000006</v>
      </c>
      <c r="Z28" s="172"/>
      <c r="AA28" s="172"/>
      <c r="AB28" s="172">
        <v>0.1</v>
      </c>
    </row>
    <row r="29" spans="1:28" s="35" customFormat="1">
      <c r="A29" s="35" t="s">
        <v>568</v>
      </c>
      <c r="B29" s="156">
        <f>SUM(B27:B28)</f>
        <v>185</v>
      </c>
      <c r="C29" s="156">
        <f t="shared" ref="C29:E29" si="39">SUM(C27:C28)</f>
        <v>56.769999999999982</v>
      </c>
      <c r="D29" s="156">
        <f t="shared" si="39"/>
        <v>-52.62459999999993</v>
      </c>
      <c r="E29" s="156">
        <f t="shared" si="39"/>
        <v>-171.33519199999978</v>
      </c>
      <c r="H29" s="173"/>
      <c r="I29" s="173"/>
      <c r="J29" s="172"/>
      <c r="K29" s="35" t="s">
        <v>568</v>
      </c>
      <c r="L29" s="156">
        <f>SUM(L27:L28)</f>
        <v>185</v>
      </c>
      <c r="M29" s="156">
        <f t="shared" ref="M29:O29" si="40">SUM(M27:M28)</f>
        <v>141.71500000000003</v>
      </c>
      <c r="N29" s="156">
        <f t="shared" si="40"/>
        <v>122.78944999999999</v>
      </c>
      <c r="O29" s="156">
        <f t="shared" si="40"/>
        <v>100.33163349999984</v>
      </c>
      <c r="P29" s="174"/>
      <c r="Q29" s="173"/>
      <c r="R29" s="173"/>
      <c r="S29" s="173"/>
      <c r="T29" s="173"/>
      <c r="U29" s="35" t="s">
        <v>568</v>
      </c>
      <c r="V29" s="156">
        <f>SUM(V27:V28)</f>
        <v>185</v>
      </c>
      <c r="W29" s="156">
        <f t="shared" ref="W29:Y29" si="41">SUM(W27:W28)</f>
        <v>179.96999999999963</v>
      </c>
      <c r="X29" s="156">
        <f t="shared" si="41"/>
        <v>205.02929999999918</v>
      </c>
      <c r="Y29" s="156">
        <f t="shared" si="41"/>
        <v>232.95419699999911</v>
      </c>
      <c r="Z29" s="173"/>
      <c r="AA29" s="173"/>
      <c r="AB29" s="173"/>
    </row>
    <row r="30" spans="1:28">
      <c r="A30" s="33" t="s">
        <v>422</v>
      </c>
      <c r="B30" s="43">
        <v>550</v>
      </c>
      <c r="C30" s="151">
        <f>B31</f>
        <v>735</v>
      </c>
      <c r="D30" s="151">
        <f t="shared" ref="D30:E30" si="42">C31</f>
        <v>791.77</v>
      </c>
      <c r="E30" s="151">
        <f t="shared" si="42"/>
        <v>739.14540000000011</v>
      </c>
      <c r="H30" s="172"/>
      <c r="I30" s="172"/>
      <c r="J30" s="172"/>
      <c r="K30" s="33" t="s">
        <v>422</v>
      </c>
      <c r="L30" s="43">
        <v>550</v>
      </c>
      <c r="M30" s="43">
        <f>L31</f>
        <v>735</v>
      </c>
      <c r="N30" s="43">
        <f t="shared" ref="N30:O30" si="43">M31</f>
        <v>876.71500000000003</v>
      </c>
      <c r="O30" s="43">
        <f t="shared" si="43"/>
        <v>999.50445000000002</v>
      </c>
      <c r="Q30" s="172"/>
      <c r="R30" s="172"/>
      <c r="S30" s="172"/>
      <c r="T30" s="172"/>
      <c r="U30" s="33" t="s">
        <v>671</v>
      </c>
      <c r="V30" s="43">
        <v>550</v>
      </c>
      <c r="W30" s="43">
        <f>V31</f>
        <v>735</v>
      </c>
      <c r="X30" s="43">
        <f t="shared" ref="X30:Y30" si="44">W31</f>
        <v>914.96999999999957</v>
      </c>
      <c r="Y30" s="43">
        <f t="shared" si="44"/>
        <v>1119.9992999999988</v>
      </c>
      <c r="Z30" s="172"/>
      <c r="AA30" s="172"/>
      <c r="AB30" s="172"/>
    </row>
    <row r="31" spans="1:28" s="35" customFormat="1">
      <c r="A31" s="35" t="s">
        <v>569</v>
      </c>
      <c r="B31" s="156">
        <f>SUM(B29:B30)</f>
        <v>735</v>
      </c>
      <c r="C31" s="156">
        <f t="shared" ref="C31:E31" si="45">SUM(C29:C30)</f>
        <v>791.77</v>
      </c>
      <c r="D31" s="156">
        <f t="shared" si="45"/>
        <v>739.14540000000011</v>
      </c>
      <c r="E31" s="156">
        <f t="shared" si="45"/>
        <v>567.81020800000033</v>
      </c>
      <c r="H31" s="173"/>
      <c r="I31" s="173"/>
      <c r="J31" s="172"/>
      <c r="K31" s="35" t="s">
        <v>569</v>
      </c>
      <c r="L31" s="156">
        <f>SUM(L29:L30)</f>
        <v>735</v>
      </c>
      <c r="M31" s="156">
        <f t="shared" ref="M31:O31" si="46">SUM(M29:M30)</f>
        <v>876.71500000000003</v>
      </c>
      <c r="N31" s="156">
        <f t="shared" si="46"/>
        <v>999.50445000000002</v>
      </c>
      <c r="O31" s="156">
        <f t="shared" si="46"/>
        <v>1099.8360834999999</v>
      </c>
      <c r="P31" s="174"/>
      <c r="Q31" s="173"/>
      <c r="R31" s="173"/>
      <c r="S31" s="173"/>
      <c r="T31" s="173"/>
      <c r="U31" s="35" t="s">
        <v>672</v>
      </c>
      <c r="V31" s="156">
        <f>SUM(V29:V30)</f>
        <v>735</v>
      </c>
      <c r="W31" s="156">
        <f t="shared" ref="W31:Y31" si="47">SUM(W29:W30)</f>
        <v>914.96999999999957</v>
      </c>
      <c r="X31" s="156">
        <f t="shared" si="47"/>
        <v>1119.9992999999988</v>
      </c>
      <c r="Y31" s="156">
        <f t="shared" si="47"/>
        <v>1352.9534969999979</v>
      </c>
      <c r="Z31" s="173"/>
      <c r="AA31" s="173"/>
      <c r="AB31" s="173"/>
    </row>
    <row r="32" spans="1:28" s="35" customFormat="1">
      <c r="A32" s="35" t="s">
        <v>670</v>
      </c>
      <c r="B32" s="156">
        <v>1465</v>
      </c>
      <c r="C32" s="156">
        <f>B32</f>
        <v>1465</v>
      </c>
      <c r="D32" s="156">
        <f t="shared" ref="D32:E32" si="48">C32</f>
        <v>1465</v>
      </c>
      <c r="E32" s="156">
        <f t="shared" si="48"/>
        <v>1465</v>
      </c>
      <c r="H32" s="173"/>
      <c r="I32" s="173"/>
      <c r="J32" s="172"/>
      <c r="K32" s="35" t="s">
        <v>670</v>
      </c>
      <c r="L32" s="156">
        <v>1465</v>
      </c>
      <c r="M32" s="156">
        <v>1465</v>
      </c>
      <c r="N32" s="156">
        <v>1465</v>
      </c>
      <c r="O32" s="156">
        <v>1465</v>
      </c>
      <c r="P32" s="174"/>
      <c r="Q32" s="173"/>
      <c r="R32" s="173"/>
      <c r="S32" s="173"/>
      <c r="T32" s="173"/>
      <c r="U32" s="35" t="s">
        <v>670</v>
      </c>
      <c r="V32" s="156">
        <v>1465</v>
      </c>
      <c r="W32" s="156">
        <v>1465</v>
      </c>
      <c r="X32" s="156">
        <v>1465</v>
      </c>
      <c r="Y32" s="156">
        <v>1465</v>
      </c>
      <c r="Z32" s="173"/>
      <c r="AA32" s="173"/>
      <c r="AB32" s="173"/>
    </row>
    <row r="33" spans="1:28">
      <c r="A33" s="33" t="s">
        <v>390</v>
      </c>
      <c r="B33" s="43">
        <f>SUM(B31:B32)</f>
        <v>2200</v>
      </c>
      <c r="C33" s="43">
        <f t="shared" ref="C33:E33" si="49">SUM(C31:C32)</f>
        <v>2256.77</v>
      </c>
      <c r="D33" s="43">
        <f t="shared" si="49"/>
        <v>2204.1454000000003</v>
      </c>
      <c r="E33" s="43">
        <f t="shared" si="49"/>
        <v>2032.8102080000003</v>
      </c>
      <c r="H33" s="172"/>
      <c r="I33" s="172"/>
      <c r="J33" s="172"/>
      <c r="K33" s="33" t="s">
        <v>390</v>
      </c>
      <c r="L33" s="43">
        <f>SUM(L31:L32)</f>
        <v>2200</v>
      </c>
      <c r="M33" s="43">
        <f t="shared" ref="M33:O33" si="50">SUM(M31:M32)</f>
        <v>2341.7150000000001</v>
      </c>
      <c r="N33" s="43">
        <f t="shared" si="50"/>
        <v>2464.5044499999999</v>
      </c>
      <c r="O33" s="43">
        <f t="shared" si="50"/>
        <v>2564.8360834999999</v>
      </c>
      <c r="Q33" s="172"/>
      <c r="R33" s="172"/>
      <c r="S33" s="172"/>
      <c r="T33" s="172"/>
      <c r="U33" s="33" t="s">
        <v>390</v>
      </c>
      <c r="V33" s="43">
        <f>SUM(V31:V32)</f>
        <v>2200</v>
      </c>
      <c r="W33" s="43">
        <f t="shared" ref="W33:Y33" si="51">SUM(W31:W32)</f>
        <v>2379.9699999999993</v>
      </c>
      <c r="X33" s="43">
        <f t="shared" si="51"/>
        <v>2584.9992999999986</v>
      </c>
      <c r="Y33" s="43">
        <f t="shared" si="51"/>
        <v>2817.9534969999977</v>
      </c>
      <c r="Z33" s="172"/>
      <c r="AA33" s="172"/>
      <c r="AB33" s="172"/>
    </row>
    <row r="34" spans="1:28">
      <c r="A34" s="33" t="s">
        <v>34</v>
      </c>
      <c r="B34" s="43">
        <v>4500</v>
      </c>
      <c r="C34" s="151">
        <f t="shared" ref="C34:E34" si="52">(1+$H34)*B34</f>
        <v>4725</v>
      </c>
      <c r="D34" s="151">
        <f t="shared" si="52"/>
        <v>4961.25</v>
      </c>
      <c r="E34" s="151">
        <f t="shared" si="52"/>
        <v>5209.3125</v>
      </c>
      <c r="H34" s="172">
        <v>0.05</v>
      </c>
      <c r="I34" s="172"/>
      <c r="J34" s="172"/>
      <c r="K34" s="33" t="s">
        <v>34</v>
      </c>
      <c r="L34" s="43">
        <v>4500</v>
      </c>
      <c r="M34" s="43">
        <f>(1+$Q34)*L34</f>
        <v>4950</v>
      </c>
      <c r="N34" s="43">
        <f>(1+$Q34)*M34</f>
        <v>5445</v>
      </c>
      <c r="O34" s="43">
        <f>(1+$Q34)*N34</f>
        <v>5989.5000000000009</v>
      </c>
      <c r="Q34" s="172">
        <v>0.1</v>
      </c>
      <c r="R34" s="172"/>
      <c r="S34" s="172"/>
      <c r="T34" s="172"/>
      <c r="U34" s="33" t="s">
        <v>34</v>
      </c>
      <c r="V34" s="43">
        <v>4500</v>
      </c>
      <c r="W34" s="43">
        <f t="shared" ref="W34:Y34" si="53">(1+$AB34)*V34</f>
        <v>4950</v>
      </c>
      <c r="X34" s="43">
        <f t="shared" si="53"/>
        <v>5445</v>
      </c>
      <c r="Y34" s="43">
        <f t="shared" si="53"/>
        <v>5989.5000000000009</v>
      </c>
      <c r="Z34" s="172"/>
      <c r="AA34" s="172"/>
      <c r="AB34" s="172">
        <v>0.1</v>
      </c>
    </row>
    <row r="35" spans="1:28">
      <c r="H35" s="172"/>
      <c r="I35" s="172"/>
      <c r="J35" s="172"/>
      <c r="K35" s="33"/>
      <c r="L35" s="33"/>
      <c r="M35" s="33"/>
      <c r="N35" s="33"/>
      <c r="O35" s="33"/>
      <c r="P35" s="33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</row>
    <row r="36" spans="1:28">
      <c r="A36" s="33" t="s">
        <v>577</v>
      </c>
      <c r="B36" s="33">
        <f>B27/B14</f>
        <v>0.10333333333333333</v>
      </c>
      <c r="C36" s="33">
        <f t="shared" ref="C36:E36" si="54">C27/C14</f>
        <v>7.9470588235294112E-2</v>
      </c>
      <c r="D36" s="33">
        <f t="shared" si="54"/>
        <v>6.1125080097398449E-2</v>
      </c>
      <c r="E36" s="33">
        <f t="shared" si="54"/>
        <v>4.2162602116330376E-2</v>
      </c>
      <c r="H36" s="172"/>
      <c r="I36" s="172"/>
      <c r="J36" s="172"/>
      <c r="K36" s="33"/>
      <c r="L36" s="33">
        <f>L27/L14</f>
        <v>0.10333333333333333</v>
      </c>
      <c r="M36" s="33">
        <f t="shared" ref="M36:O36" si="55">M27/M14</f>
        <v>9.5177777777777778E-2</v>
      </c>
      <c r="N36" s="33">
        <f t="shared" si="55"/>
        <v>9.3038941798941802E-2</v>
      </c>
      <c r="O36" s="33">
        <f t="shared" si="55"/>
        <v>9.0801163013353475E-2</v>
      </c>
      <c r="Q36" s="172"/>
      <c r="R36" s="172"/>
      <c r="S36" s="172"/>
      <c r="T36" s="172"/>
      <c r="U36" s="172"/>
      <c r="V36" s="33">
        <f t="shared" ref="V36:Y36" si="56">V27/V14</f>
        <v>0.10333333333333333</v>
      </c>
      <c r="W36" s="33">
        <f t="shared" si="56"/>
        <v>9.8579797979797906E-2</v>
      </c>
      <c r="X36" s="33">
        <f t="shared" si="56"/>
        <v>9.9876822773186255E-2</v>
      </c>
      <c r="Y36" s="33">
        <f t="shared" si="56"/>
        <v>0.10111598580849805</v>
      </c>
      <c r="Z36" s="172"/>
      <c r="AA36" s="172"/>
      <c r="AB36" s="172"/>
    </row>
    <row r="37" spans="1:28">
      <c r="A37" s="33" t="s">
        <v>578</v>
      </c>
      <c r="B37" s="33">
        <f>B27/B34</f>
        <v>0.10333333333333333</v>
      </c>
      <c r="C37" s="33">
        <f t="shared" ref="C37:E37" si="57">C27/C34</f>
        <v>7.7199999999999991E-2</v>
      </c>
      <c r="D37" s="33">
        <f t="shared" si="57"/>
        <v>5.7682116402116415E-2</v>
      </c>
      <c r="E37" s="33">
        <f t="shared" si="57"/>
        <v>3.8650936759889197E-2</v>
      </c>
      <c r="H37" s="172"/>
      <c r="I37" s="172"/>
      <c r="J37" s="172"/>
      <c r="K37" s="33"/>
      <c r="L37" s="33">
        <f t="shared" ref="L37:O37" si="58">L27/L34</f>
        <v>0.10333333333333333</v>
      </c>
      <c r="M37" s="33">
        <f t="shared" si="58"/>
        <v>9.0851515151515155E-2</v>
      </c>
      <c r="N37" s="33">
        <f t="shared" si="58"/>
        <v>8.4773085399449041E-2</v>
      </c>
      <c r="O37" s="33">
        <f t="shared" si="58"/>
        <v>7.897347583270721E-2</v>
      </c>
      <c r="Q37" s="172"/>
      <c r="R37" s="172"/>
      <c r="S37" s="172"/>
      <c r="T37" s="172"/>
      <c r="U37" s="172"/>
      <c r="V37" s="33">
        <f t="shared" ref="V37:Y37" si="59">V27/V34</f>
        <v>0.10333333333333333</v>
      </c>
      <c r="W37" s="33">
        <f t="shared" si="59"/>
        <v>9.8579797979797906E-2</v>
      </c>
      <c r="X37" s="33">
        <f t="shared" si="59"/>
        <v>9.9876822773186255E-2</v>
      </c>
      <c r="Y37" s="33">
        <f t="shared" si="59"/>
        <v>0.10111598580849805</v>
      </c>
      <c r="Z37" s="172"/>
      <c r="AA37" s="172"/>
      <c r="AB37" s="172"/>
    </row>
    <row r="38" spans="1:28">
      <c r="A38" s="33" t="s">
        <v>579</v>
      </c>
      <c r="B38" s="33">
        <f>B27/B33</f>
        <v>0.21136363636363636</v>
      </c>
      <c r="C38" s="33">
        <f t="shared" ref="C38:E38" si="60">C27/C33</f>
        <v>0.1616336622695268</v>
      </c>
      <c r="D38" s="33">
        <f t="shared" si="60"/>
        <v>0.12983508256760196</v>
      </c>
      <c r="E38" s="33">
        <f t="shared" si="60"/>
        <v>9.9047519147444307E-2</v>
      </c>
      <c r="H38" s="172"/>
      <c r="I38" s="172"/>
      <c r="J38" s="172"/>
      <c r="K38" s="33"/>
      <c r="L38" s="33">
        <f t="shared" ref="L38:O38" si="61">L27/L33</f>
        <v>0.21136363636363636</v>
      </c>
      <c r="M38" s="33">
        <f t="shared" si="61"/>
        <v>0.19204514639911346</v>
      </c>
      <c r="N38" s="33">
        <f t="shared" si="61"/>
        <v>0.1872950361278512</v>
      </c>
      <c r="O38" s="33">
        <f t="shared" si="61"/>
        <v>0.18442177905362425</v>
      </c>
      <c r="Q38" s="172"/>
      <c r="R38" s="172"/>
      <c r="S38" s="172"/>
      <c r="T38" s="172"/>
      <c r="U38" s="172"/>
      <c r="V38" s="33">
        <f t="shared" ref="V38:Y38" si="62">V27/V33</f>
        <v>0.21136363636363636</v>
      </c>
      <c r="W38" s="33">
        <f t="shared" si="62"/>
        <v>0.2050319962016327</v>
      </c>
      <c r="X38" s="33">
        <f t="shared" si="62"/>
        <v>0.21037889642755397</v>
      </c>
      <c r="Y38" s="33">
        <f t="shared" si="62"/>
        <v>0.21491986920464062</v>
      </c>
      <c r="Z38" s="172"/>
      <c r="AA38" s="172"/>
      <c r="AB38" s="172"/>
    </row>
    <row r="39" spans="1:28">
      <c r="H39" s="172"/>
      <c r="I39" s="172"/>
      <c r="J39" s="172"/>
      <c r="K39" s="33"/>
      <c r="L39" s="43"/>
      <c r="M39" s="43"/>
      <c r="N39" s="43"/>
      <c r="O39" s="43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</row>
    <row r="40" spans="1:28">
      <c r="H40" s="172"/>
      <c r="I40" s="172"/>
      <c r="J40" s="172"/>
      <c r="K40" s="33"/>
      <c r="L40" s="43"/>
      <c r="M40" s="43"/>
      <c r="N40" s="43"/>
      <c r="O40" s="43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</row>
    <row r="41" spans="1:28">
      <c r="H41" s="172"/>
      <c r="I41" s="172"/>
      <c r="J41" s="172"/>
      <c r="K41" s="33"/>
      <c r="L41" s="43"/>
      <c r="M41" s="43"/>
      <c r="N41" s="43"/>
      <c r="O41" s="43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</row>
    <row r="42" spans="1:28">
      <c r="H42" s="172"/>
      <c r="I42" s="172"/>
      <c r="J42" s="172"/>
      <c r="K42" s="33"/>
      <c r="L42" s="43"/>
      <c r="M42" s="43"/>
      <c r="N42" s="43"/>
      <c r="O42" s="43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</row>
    <row r="43" spans="1:28">
      <c r="H43" s="172"/>
      <c r="I43" s="172"/>
      <c r="J43" s="172"/>
      <c r="K43" s="33"/>
      <c r="L43" s="43"/>
      <c r="M43" s="43"/>
      <c r="N43" s="43"/>
      <c r="O43" s="43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</row>
    <row r="44" spans="1:28">
      <c r="H44" s="172"/>
      <c r="I44" s="172"/>
      <c r="J44" s="172"/>
      <c r="K44" s="33"/>
      <c r="L44" s="43"/>
      <c r="M44" s="43"/>
      <c r="N44" s="43"/>
      <c r="O44" s="43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</row>
    <row r="45" spans="1:28">
      <c r="H45" s="172"/>
      <c r="I45" s="172"/>
      <c r="J45" s="172"/>
      <c r="K45" s="33"/>
      <c r="L45" s="43"/>
      <c r="M45" s="43"/>
      <c r="N45" s="43"/>
      <c r="O45" s="43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</row>
    <row r="46" spans="1:28">
      <c r="H46" s="172"/>
      <c r="I46" s="172"/>
      <c r="J46" s="172"/>
      <c r="K46" s="33"/>
      <c r="L46" s="43"/>
      <c r="M46" s="43"/>
      <c r="N46" s="43"/>
      <c r="O46" s="43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</row>
    <row r="47" spans="1:28">
      <c r="A47" s="33" t="s">
        <v>45</v>
      </c>
    </row>
    <row r="48" spans="1:28">
      <c r="A48" s="33" t="s">
        <v>570</v>
      </c>
    </row>
    <row r="49" spans="1:29">
      <c r="A49" s="33" t="s">
        <v>571</v>
      </c>
    </row>
    <row r="50" spans="1:29">
      <c r="A50" s="33" t="s">
        <v>572</v>
      </c>
    </row>
    <row r="51" spans="1:29">
      <c r="A51" s="33" t="s">
        <v>573</v>
      </c>
    </row>
    <row r="53" spans="1:29">
      <c r="A53" s="33" t="s">
        <v>47</v>
      </c>
    </row>
    <row r="54" spans="1:29">
      <c r="A54" s="33" t="s">
        <v>574</v>
      </c>
    </row>
    <row r="55" spans="1:29">
      <c r="A55" s="33" t="s">
        <v>575</v>
      </c>
      <c r="AC55" s="33" t="s">
        <v>498</v>
      </c>
    </row>
    <row r="56" spans="1:29">
      <c r="A56" s="33" t="s">
        <v>576</v>
      </c>
      <c r="AC56" s="33" t="s">
        <v>324</v>
      </c>
    </row>
    <row r="57" spans="1:29">
      <c r="A57" s="33" t="s">
        <v>577</v>
      </c>
      <c r="AC57" s="33" t="s">
        <v>324</v>
      </c>
    </row>
    <row r="58" spans="1:29">
      <c r="A58" s="33" t="s">
        <v>578</v>
      </c>
      <c r="AC58" s="33" t="s">
        <v>324</v>
      </c>
    </row>
    <row r="59" spans="1:29">
      <c r="A59" s="33" t="s">
        <v>579</v>
      </c>
    </row>
    <row r="60" spans="1:29">
      <c r="A60" s="33" t="s">
        <v>580</v>
      </c>
    </row>
    <row r="61" spans="1:29">
      <c r="AC61" s="33" t="s">
        <v>201</v>
      </c>
    </row>
    <row r="62" spans="1:29">
      <c r="A62" s="33" t="s">
        <v>673</v>
      </c>
      <c r="K62" s="176" t="s">
        <v>680</v>
      </c>
      <c r="L62" s="174">
        <v>2022</v>
      </c>
      <c r="M62" s="174">
        <v>2023</v>
      </c>
      <c r="N62" s="174">
        <v>2024</v>
      </c>
      <c r="O62" s="174">
        <v>2025</v>
      </c>
    </row>
    <row r="63" spans="1:29">
      <c r="B63" s="33">
        <v>2022</v>
      </c>
      <c r="C63" s="33">
        <v>2023</v>
      </c>
      <c r="D63" s="33">
        <v>2024</v>
      </c>
      <c r="E63" s="33">
        <v>2025</v>
      </c>
      <c r="K63" s="176" t="str">
        <f>A14</f>
        <v>Revenue</v>
      </c>
      <c r="L63" s="43">
        <f>B14</f>
        <v>4500</v>
      </c>
      <c r="M63" s="43">
        <f t="shared" ref="M63:O63" si="63">C14</f>
        <v>4590</v>
      </c>
      <c r="N63" s="43">
        <f t="shared" si="63"/>
        <v>4681.8</v>
      </c>
      <c r="O63" s="43">
        <f t="shared" si="63"/>
        <v>4775.4360000000006</v>
      </c>
    </row>
    <row r="64" spans="1:29">
      <c r="B64" s="33" t="s">
        <v>406</v>
      </c>
      <c r="C64" s="33" t="s">
        <v>406</v>
      </c>
      <c r="D64" s="33" t="s">
        <v>406</v>
      </c>
      <c r="E64" s="33" t="s">
        <v>406</v>
      </c>
      <c r="K64" s="176" t="str">
        <f>A16</f>
        <v>Gross Profit</v>
      </c>
      <c r="L64" s="43">
        <f>B16</f>
        <v>1300</v>
      </c>
      <c r="M64" s="43">
        <f t="shared" ref="M64:O64" si="64">C16</f>
        <v>1230</v>
      </c>
      <c r="N64" s="43">
        <f t="shared" si="64"/>
        <v>1153.8000000000002</v>
      </c>
      <c r="O64" s="43">
        <f t="shared" si="64"/>
        <v>1071.0360000000005</v>
      </c>
    </row>
    <row r="65" spans="1:15">
      <c r="A65" s="33" t="s">
        <v>20</v>
      </c>
      <c r="B65" s="33">
        <v>4500</v>
      </c>
      <c r="C65" s="33">
        <v>4590</v>
      </c>
      <c r="D65" s="33">
        <v>4681.8</v>
      </c>
      <c r="E65" s="33">
        <v>4775.4360000000006</v>
      </c>
      <c r="K65" s="176" t="str">
        <f>A18</f>
        <v>Total Income</v>
      </c>
      <c r="L65" s="43">
        <f>B18</f>
        <v>1315</v>
      </c>
      <c r="M65" s="43">
        <f t="shared" ref="M65:O65" si="65">C18</f>
        <v>1245.3</v>
      </c>
      <c r="N65" s="43">
        <f t="shared" si="65"/>
        <v>1169.4060000000002</v>
      </c>
      <c r="O65" s="43">
        <f t="shared" si="65"/>
        <v>1086.9541200000006</v>
      </c>
    </row>
    <row r="66" spans="1:15">
      <c r="A66" s="33" t="s">
        <v>560</v>
      </c>
      <c r="B66" s="33">
        <v>-3200</v>
      </c>
      <c r="C66" s="33">
        <v>-3264</v>
      </c>
      <c r="D66" s="33">
        <v>-3329.28</v>
      </c>
      <c r="E66" s="33">
        <v>-3395.8656000000001</v>
      </c>
      <c r="G66" s="33">
        <v>5</v>
      </c>
      <c r="K66" s="176" t="s">
        <v>341</v>
      </c>
      <c r="L66" s="43">
        <f>B21</f>
        <v>895</v>
      </c>
      <c r="M66" s="43">
        <f t="shared" ref="M66:O66" si="66">C21</f>
        <v>810.59999999999991</v>
      </c>
      <c r="N66" s="43">
        <f t="shared" si="66"/>
        <v>719.39700000000016</v>
      </c>
      <c r="O66" s="43">
        <f t="shared" si="66"/>
        <v>620.99919000000045</v>
      </c>
    </row>
    <row r="67" spans="1:15">
      <c r="A67" s="33" t="s">
        <v>339</v>
      </c>
      <c r="B67" s="33">
        <v>1300</v>
      </c>
      <c r="C67" s="33">
        <v>1326</v>
      </c>
      <c r="D67" s="33">
        <v>1352.52</v>
      </c>
      <c r="E67" s="33">
        <v>1379.5704000000005</v>
      </c>
      <c r="K67" s="176" t="s">
        <v>0</v>
      </c>
      <c r="L67" s="43">
        <f>B23</f>
        <v>745</v>
      </c>
      <c r="M67" s="43">
        <f t="shared" ref="M67:O67" si="67">C23</f>
        <v>653.09999999999991</v>
      </c>
      <c r="N67" s="43">
        <f t="shared" si="67"/>
        <v>554.02200000000016</v>
      </c>
      <c r="O67" s="43">
        <f t="shared" si="67"/>
        <v>447.35544000000044</v>
      </c>
    </row>
    <row r="68" spans="1:15">
      <c r="A68" s="33" t="s">
        <v>561</v>
      </c>
      <c r="B68" s="33">
        <v>15</v>
      </c>
      <c r="C68" s="33">
        <v>15.3</v>
      </c>
      <c r="D68" s="33">
        <v>15.606000000000002</v>
      </c>
      <c r="E68" s="33">
        <v>15.918120000000002</v>
      </c>
      <c r="K68" s="176" t="s">
        <v>343</v>
      </c>
      <c r="L68" s="43">
        <f>B25</f>
        <v>625</v>
      </c>
      <c r="M68" s="43">
        <f t="shared" ref="M68:O68" si="68">C25</f>
        <v>521.09999999999991</v>
      </c>
      <c r="N68" s="43">
        <f t="shared" si="68"/>
        <v>408.82200000000012</v>
      </c>
      <c r="O68" s="43">
        <f t="shared" si="68"/>
        <v>287.63544000000041</v>
      </c>
    </row>
    <row r="69" spans="1:15">
      <c r="A69" s="33" t="s">
        <v>562</v>
      </c>
      <c r="B69" s="33">
        <v>1315</v>
      </c>
      <c r="C69" s="33">
        <v>1341.3</v>
      </c>
      <c r="D69" s="33">
        <v>1368.126</v>
      </c>
      <c r="E69" s="33">
        <v>1395.4885200000006</v>
      </c>
      <c r="K69" s="176" t="s">
        <v>679</v>
      </c>
      <c r="L69" s="43">
        <f>B27</f>
        <v>465</v>
      </c>
      <c r="M69" s="43">
        <f t="shared" ref="M69:O69" si="69">C27</f>
        <v>364.77</v>
      </c>
      <c r="N69" s="43">
        <f t="shared" si="69"/>
        <v>286.17540000000008</v>
      </c>
      <c r="O69" s="43">
        <f t="shared" si="69"/>
        <v>201.34480800000028</v>
      </c>
    </row>
    <row r="70" spans="1:15">
      <c r="A70" s="33" t="s">
        <v>563</v>
      </c>
      <c r="B70" s="33">
        <v>-210</v>
      </c>
      <c r="C70" s="33">
        <v>-220.5</v>
      </c>
      <c r="D70" s="33">
        <v>-231.52500000000001</v>
      </c>
      <c r="E70" s="33">
        <v>-243.10125000000002</v>
      </c>
    </row>
    <row r="71" spans="1:15">
      <c r="A71" s="33" t="s">
        <v>414</v>
      </c>
      <c r="B71" s="33">
        <v>-210</v>
      </c>
      <c r="C71" s="33">
        <v>-214.20000000000002</v>
      </c>
      <c r="D71" s="33">
        <v>-218.48400000000001</v>
      </c>
      <c r="E71" s="33">
        <v>-222.85368000000003</v>
      </c>
    </row>
    <row r="72" spans="1:15">
      <c r="A72" s="33" t="s">
        <v>564</v>
      </c>
      <c r="B72" s="33">
        <v>895</v>
      </c>
      <c r="C72" s="33">
        <v>906.59999999999991</v>
      </c>
      <c r="D72" s="33">
        <v>918.11699999999985</v>
      </c>
      <c r="E72" s="33">
        <v>929.53359000000057</v>
      </c>
    </row>
    <row r="73" spans="1:15">
      <c r="A73" s="33" t="s">
        <v>416</v>
      </c>
      <c r="B73" s="33">
        <v>-150</v>
      </c>
      <c r="C73" s="33">
        <v>-157.5</v>
      </c>
      <c r="D73" s="33">
        <v>-165.375</v>
      </c>
      <c r="E73" s="33">
        <v>-173.64375000000001</v>
      </c>
    </row>
    <row r="74" spans="1:15">
      <c r="A74" s="33" t="s">
        <v>565</v>
      </c>
      <c r="B74" s="33">
        <v>745</v>
      </c>
      <c r="C74" s="33">
        <v>749.09999999999991</v>
      </c>
      <c r="D74" s="33">
        <v>752.74199999999985</v>
      </c>
      <c r="E74" s="33">
        <v>755.8898400000005</v>
      </c>
    </row>
    <row r="75" spans="1:15">
      <c r="A75" s="33" t="s">
        <v>59</v>
      </c>
      <c r="B75" s="33">
        <v>-120</v>
      </c>
      <c r="C75" s="33">
        <v>-132</v>
      </c>
      <c r="D75" s="33">
        <v>-145.20000000000002</v>
      </c>
      <c r="E75" s="33">
        <v>-159.72000000000003</v>
      </c>
    </row>
    <row r="76" spans="1:15">
      <c r="A76" s="33" t="s">
        <v>566</v>
      </c>
      <c r="B76" s="33">
        <v>625</v>
      </c>
      <c r="C76" s="33">
        <v>617.09999999999991</v>
      </c>
      <c r="D76" s="33">
        <v>607.5419999999998</v>
      </c>
      <c r="E76" s="33">
        <v>596.16984000000048</v>
      </c>
    </row>
    <row r="77" spans="1:15">
      <c r="A77" s="33" t="s">
        <v>27</v>
      </c>
      <c r="B77" s="33">
        <v>-160</v>
      </c>
      <c r="C77" s="33">
        <v>-185.12999999999997</v>
      </c>
      <c r="D77" s="33">
        <v>-182.26259999999994</v>
      </c>
      <c r="E77" s="33">
        <v>-178.85095200000015</v>
      </c>
    </row>
    <row r="78" spans="1:15">
      <c r="A78" s="33" t="s">
        <v>567</v>
      </c>
      <c r="B78" s="33">
        <v>465</v>
      </c>
      <c r="C78" s="33">
        <v>431.96999999999991</v>
      </c>
      <c r="D78" s="33">
        <v>425.2793999999999</v>
      </c>
      <c r="E78" s="33">
        <v>417.31888800000036</v>
      </c>
    </row>
    <row r="79" spans="1:15">
      <c r="A79" s="33" t="s">
        <v>420</v>
      </c>
      <c r="B79" s="33">
        <v>-280</v>
      </c>
      <c r="C79" s="33">
        <v>-308</v>
      </c>
      <c r="D79" s="33">
        <v>-338.8</v>
      </c>
      <c r="E79" s="33">
        <v>-372.68000000000006</v>
      </c>
    </row>
    <row r="80" spans="1:15">
      <c r="A80" s="33" t="s">
        <v>568</v>
      </c>
      <c r="B80" s="33">
        <v>185</v>
      </c>
      <c r="C80" s="33">
        <v>123.96999999999991</v>
      </c>
      <c r="D80" s="33">
        <v>86.479399999999885</v>
      </c>
      <c r="E80" s="33">
        <v>44.638888000000293</v>
      </c>
    </row>
    <row r="81" spans="1:5">
      <c r="A81" s="33" t="s">
        <v>422</v>
      </c>
      <c r="B81" s="33">
        <v>550</v>
      </c>
      <c r="C81" s="33">
        <v>735</v>
      </c>
      <c r="D81" s="33">
        <v>858.96999999999991</v>
      </c>
      <c r="E81" s="33">
        <v>945.44939999999974</v>
      </c>
    </row>
    <row r="82" spans="1:5">
      <c r="A82" s="33" t="s">
        <v>569</v>
      </c>
      <c r="B82" s="33">
        <v>735</v>
      </c>
      <c r="C82" s="33">
        <v>858.96999999999991</v>
      </c>
      <c r="D82" s="33">
        <v>945.44939999999974</v>
      </c>
      <c r="E82" s="33">
        <v>990.08828800000003</v>
      </c>
    </row>
    <row r="83" spans="1:5">
      <c r="A83" s="33" t="s">
        <v>670</v>
      </c>
      <c r="B83" s="33">
        <v>1465</v>
      </c>
      <c r="C83" s="33">
        <v>1465</v>
      </c>
      <c r="D83" s="33">
        <v>1465</v>
      </c>
      <c r="E83" s="33">
        <v>1465</v>
      </c>
    </row>
    <row r="84" spans="1:5">
      <c r="A84" s="33" t="s">
        <v>390</v>
      </c>
      <c r="B84" s="33">
        <v>2200</v>
      </c>
      <c r="C84" s="33">
        <v>2323.9699999999998</v>
      </c>
      <c r="D84" s="33">
        <v>2410.4493999999995</v>
      </c>
      <c r="E84" s="33">
        <v>2455.0882879999999</v>
      </c>
    </row>
    <row r="85" spans="1:5">
      <c r="A85" s="33" t="s">
        <v>34</v>
      </c>
      <c r="B85" s="33">
        <v>4500</v>
      </c>
      <c r="C85" s="33">
        <v>4725</v>
      </c>
      <c r="D85" s="33">
        <v>4961.25</v>
      </c>
      <c r="E85" s="33">
        <v>5209.3125</v>
      </c>
    </row>
    <row r="87" spans="1:5">
      <c r="A87" s="33" t="s">
        <v>674</v>
      </c>
    </row>
    <row r="88" spans="1:5">
      <c r="B88" s="33">
        <v>2022</v>
      </c>
      <c r="C88" s="33">
        <v>2023</v>
      </c>
      <c r="D88" s="33">
        <v>2024</v>
      </c>
      <c r="E88" s="33">
        <v>2025</v>
      </c>
    </row>
    <row r="89" spans="1:5">
      <c r="B89" s="33" t="s">
        <v>406</v>
      </c>
      <c r="C89" s="33" t="s">
        <v>406</v>
      </c>
      <c r="D89" s="33" t="s">
        <v>406</v>
      </c>
      <c r="E89" s="33" t="s">
        <v>406</v>
      </c>
    </row>
    <row r="90" spans="1:5">
      <c r="A90" s="33" t="s">
        <v>20</v>
      </c>
      <c r="B90" s="33">
        <v>4500</v>
      </c>
      <c r="C90" s="33">
        <v>4950</v>
      </c>
      <c r="D90" s="33">
        <v>5445</v>
      </c>
      <c r="E90" s="33">
        <v>5989.5000000000009</v>
      </c>
    </row>
    <row r="91" spans="1:5">
      <c r="A91" s="33" t="s">
        <v>560</v>
      </c>
      <c r="B91" s="33">
        <v>-3200</v>
      </c>
      <c r="C91" s="33">
        <v>-3520.0000000000005</v>
      </c>
      <c r="D91" s="33">
        <v>-3872.0000000000009</v>
      </c>
      <c r="E91" s="33">
        <v>-4259.2000000000016</v>
      </c>
    </row>
    <row r="92" spans="1:5">
      <c r="A92" s="33" t="s">
        <v>339</v>
      </c>
      <c r="B92" s="33">
        <v>1300</v>
      </c>
      <c r="C92" s="33">
        <v>1429.9999999999995</v>
      </c>
      <c r="D92" s="33">
        <v>1572.9999999999991</v>
      </c>
      <c r="E92" s="33">
        <v>1730.2999999999993</v>
      </c>
    </row>
    <row r="93" spans="1:5">
      <c r="A93" s="33" t="s">
        <v>561</v>
      </c>
      <c r="B93" s="33">
        <v>15</v>
      </c>
      <c r="C93" s="33">
        <v>15.600000000000001</v>
      </c>
      <c r="D93" s="33">
        <v>16.224000000000004</v>
      </c>
      <c r="E93" s="33">
        <v>16.872960000000006</v>
      </c>
    </row>
    <row r="94" spans="1:5">
      <c r="A94" s="33" t="s">
        <v>562</v>
      </c>
      <c r="B94" s="33">
        <v>1315</v>
      </c>
      <c r="C94" s="33">
        <v>1445.5999999999995</v>
      </c>
      <c r="D94" s="33">
        <v>1589.223999999999</v>
      </c>
      <c r="E94" s="33">
        <v>1747.1729599999992</v>
      </c>
    </row>
    <row r="95" spans="1:5">
      <c r="A95" s="33" t="s">
        <v>563</v>
      </c>
      <c r="B95" s="33">
        <v>-210</v>
      </c>
      <c r="C95" s="33">
        <v>-220.5</v>
      </c>
      <c r="D95" s="33">
        <v>-231.52500000000001</v>
      </c>
      <c r="E95" s="33">
        <v>-243.10125000000002</v>
      </c>
    </row>
    <row r="96" spans="1:5">
      <c r="A96" s="33" t="s">
        <v>414</v>
      </c>
      <c r="B96" s="33">
        <v>-210</v>
      </c>
      <c r="C96" s="33">
        <v>-231.00000000000003</v>
      </c>
      <c r="D96" s="33">
        <v>-254.10000000000005</v>
      </c>
      <c r="E96" s="33">
        <v>-279.5100000000001</v>
      </c>
    </row>
    <row r="97" spans="1:7">
      <c r="A97" s="33" t="s">
        <v>564</v>
      </c>
      <c r="B97" s="33">
        <v>895</v>
      </c>
      <c r="C97" s="33">
        <v>994.09999999999945</v>
      </c>
      <c r="D97" s="33">
        <v>1103.5989999999988</v>
      </c>
      <c r="E97" s="33">
        <v>1224.561709999999</v>
      </c>
    </row>
    <row r="98" spans="1:7">
      <c r="A98" s="33" t="s">
        <v>416</v>
      </c>
      <c r="B98" s="33">
        <v>-150</v>
      </c>
      <c r="C98" s="33">
        <v>-165</v>
      </c>
      <c r="D98" s="33">
        <v>-181.50000000000003</v>
      </c>
      <c r="E98" s="33">
        <v>-199.65000000000003</v>
      </c>
      <c r="G98" s="33">
        <v>5</v>
      </c>
    </row>
    <row r="99" spans="1:7">
      <c r="A99" s="33" t="s">
        <v>565</v>
      </c>
      <c r="B99" s="33">
        <v>745</v>
      </c>
      <c r="C99" s="33">
        <v>829.09999999999945</v>
      </c>
      <c r="D99" s="33">
        <v>922.0989999999988</v>
      </c>
      <c r="E99" s="33">
        <v>1024.9117099999989</v>
      </c>
    </row>
    <row r="100" spans="1:7">
      <c r="A100" s="33" t="s">
        <v>59</v>
      </c>
      <c r="B100" s="33">
        <v>-120</v>
      </c>
      <c r="C100" s="33">
        <v>-132</v>
      </c>
      <c r="D100" s="33">
        <v>-145.20000000000002</v>
      </c>
      <c r="E100" s="33">
        <v>-159.72000000000003</v>
      </c>
    </row>
    <row r="101" spans="1:7">
      <c r="A101" s="33" t="s">
        <v>566</v>
      </c>
      <c r="B101" s="33">
        <v>625</v>
      </c>
      <c r="C101" s="33">
        <v>697.09999999999945</v>
      </c>
      <c r="D101" s="33">
        <v>776.89899999999875</v>
      </c>
      <c r="E101" s="33">
        <v>865.19170999999892</v>
      </c>
    </row>
    <row r="102" spans="1:7">
      <c r="A102" s="33" t="s">
        <v>27</v>
      </c>
      <c r="B102" s="33">
        <v>-160</v>
      </c>
      <c r="C102" s="33">
        <v>-209.12999999999982</v>
      </c>
      <c r="D102" s="33">
        <v>-233.06969999999961</v>
      </c>
      <c r="E102" s="33">
        <v>-259.55751299999969</v>
      </c>
    </row>
    <row r="103" spans="1:7">
      <c r="A103" s="33" t="s">
        <v>567</v>
      </c>
      <c r="B103" s="33">
        <v>465</v>
      </c>
      <c r="C103" s="33">
        <v>487.96999999999963</v>
      </c>
      <c r="D103" s="33">
        <v>543.82929999999919</v>
      </c>
      <c r="E103" s="33">
        <v>605.63419699999918</v>
      </c>
    </row>
    <row r="104" spans="1:7">
      <c r="A104" s="33" t="s">
        <v>420</v>
      </c>
      <c r="B104" s="33">
        <v>-280</v>
      </c>
      <c r="C104" s="33">
        <v>-308</v>
      </c>
      <c r="D104" s="33">
        <v>-338.8</v>
      </c>
      <c r="E104" s="33">
        <v>-372.68000000000006</v>
      </c>
    </row>
    <row r="105" spans="1:7">
      <c r="A105" s="33" t="s">
        <v>568</v>
      </c>
      <c r="B105" s="33">
        <v>185</v>
      </c>
      <c r="C105" s="33">
        <v>179.96999999999963</v>
      </c>
      <c r="D105" s="33">
        <v>205.02929999999918</v>
      </c>
      <c r="E105" s="33">
        <v>232.95419699999911</v>
      </c>
    </row>
    <row r="106" spans="1:7">
      <c r="A106" s="33" t="s">
        <v>422</v>
      </c>
      <c r="B106" s="33">
        <v>550</v>
      </c>
      <c r="C106" s="33">
        <v>735</v>
      </c>
      <c r="D106" s="33">
        <v>914.96999999999957</v>
      </c>
      <c r="E106" s="33">
        <v>1119.9992999999988</v>
      </c>
    </row>
    <row r="107" spans="1:7">
      <c r="A107" s="33" t="s">
        <v>569</v>
      </c>
      <c r="B107" s="33">
        <v>735</v>
      </c>
      <c r="C107" s="33">
        <v>914.96999999999957</v>
      </c>
      <c r="D107" s="33">
        <v>1119.9992999999988</v>
      </c>
      <c r="E107" s="33">
        <v>1352.9534969999979</v>
      </c>
    </row>
    <row r="108" spans="1:7">
      <c r="A108" s="33" t="s">
        <v>670</v>
      </c>
      <c r="B108" s="33">
        <v>1465</v>
      </c>
      <c r="C108" s="33">
        <v>1465</v>
      </c>
      <c r="D108" s="33">
        <v>1465</v>
      </c>
      <c r="E108" s="33">
        <v>1465</v>
      </c>
    </row>
    <row r="109" spans="1:7">
      <c r="A109" s="33" t="s">
        <v>390</v>
      </c>
      <c r="B109" s="33">
        <v>2200</v>
      </c>
      <c r="C109" s="33">
        <v>2379.9699999999993</v>
      </c>
      <c r="D109" s="33">
        <v>2584.9992999999986</v>
      </c>
      <c r="E109" s="33">
        <v>2817.9534969999977</v>
      </c>
    </row>
    <row r="110" spans="1:7">
      <c r="A110" s="33" t="s">
        <v>34</v>
      </c>
      <c r="B110" s="33">
        <v>4500</v>
      </c>
      <c r="C110" s="33">
        <v>4950</v>
      </c>
      <c r="D110" s="33">
        <v>5445</v>
      </c>
      <c r="E110" s="33">
        <v>5989.5000000000009</v>
      </c>
    </row>
    <row r="113" spans="1:7">
      <c r="A113" s="33" t="s">
        <v>675</v>
      </c>
    </row>
    <row r="114" spans="1:7">
      <c r="B114" s="33">
        <v>2022</v>
      </c>
      <c r="C114" s="33">
        <v>2023</v>
      </c>
      <c r="D114" s="33">
        <v>2024</v>
      </c>
      <c r="E114" s="33">
        <v>2025</v>
      </c>
    </row>
    <row r="115" spans="1:7">
      <c r="B115" s="33" t="s">
        <v>406</v>
      </c>
      <c r="C115" s="33" t="s">
        <v>406</v>
      </c>
      <c r="D115" s="33" t="s">
        <v>406</v>
      </c>
      <c r="E115" s="33" t="s">
        <v>406</v>
      </c>
    </row>
    <row r="116" spans="1:7">
      <c r="A116" s="33" t="s">
        <v>20</v>
      </c>
      <c r="B116" s="33">
        <v>4500</v>
      </c>
      <c r="C116" s="33">
        <v>4725</v>
      </c>
      <c r="D116" s="33">
        <v>4961.25</v>
      </c>
      <c r="E116" s="33">
        <v>5209.3125</v>
      </c>
    </row>
    <row r="117" spans="1:7">
      <c r="A117" s="33" t="s">
        <v>560</v>
      </c>
      <c r="B117" s="33">
        <v>-3200</v>
      </c>
      <c r="C117" s="33">
        <v>-3360</v>
      </c>
      <c r="D117" s="33">
        <v>-3528</v>
      </c>
      <c r="E117" s="33">
        <v>-3704.4</v>
      </c>
    </row>
    <row r="118" spans="1:7">
      <c r="A118" s="33" t="s">
        <v>339</v>
      </c>
      <c r="B118" s="33">
        <v>1300</v>
      </c>
      <c r="C118" s="33">
        <v>1365</v>
      </c>
      <c r="D118" s="33">
        <v>1433.25</v>
      </c>
      <c r="E118" s="33">
        <v>1504.9124999999999</v>
      </c>
    </row>
    <row r="119" spans="1:7">
      <c r="A119" s="33" t="s">
        <v>561</v>
      </c>
      <c r="B119" s="33">
        <v>15</v>
      </c>
      <c r="C119" s="33">
        <v>15.450000000000001</v>
      </c>
      <c r="D119" s="33">
        <v>15.913500000000001</v>
      </c>
      <c r="E119" s="33">
        <v>16.390905</v>
      </c>
    </row>
    <row r="120" spans="1:7">
      <c r="A120" s="33" t="s">
        <v>562</v>
      </c>
      <c r="B120" s="33">
        <v>1315</v>
      </c>
      <c r="C120" s="33">
        <v>1380.45</v>
      </c>
      <c r="D120" s="33">
        <v>1449.1635000000001</v>
      </c>
      <c r="E120" s="33">
        <v>1521.3034049999999</v>
      </c>
    </row>
    <row r="121" spans="1:7">
      <c r="A121" s="33" t="s">
        <v>563</v>
      </c>
      <c r="B121" s="33">
        <v>-210</v>
      </c>
      <c r="C121" s="33">
        <v>-220.5</v>
      </c>
      <c r="D121" s="33">
        <v>-231.52500000000001</v>
      </c>
      <c r="E121" s="33">
        <v>-243.10125000000002</v>
      </c>
      <c r="G121" s="33">
        <v>5</v>
      </c>
    </row>
    <row r="122" spans="1:7">
      <c r="A122" s="33" t="s">
        <v>414</v>
      </c>
      <c r="B122" s="33">
        <v>-210</v>
      </c>
      <c r="C122" s="33">
        <v>-220.5</v>
      </c>
      <c r="D122" s="33">
        <v>-231.52500000000001</v>
      </c>
      <c r="E122" s="33">
        <v>-243.10125000000002</v>
      </c>
    </row>
    <row r="123" spans="1:7">
      <c r="A123" s="33" t="s">
        <v>564</v>
      </c>
      <c r="B123" s="33">
        <v>895</v>
      </c>
      <c r="C123" s="33">
        <v>939.45</v>
      </c>
      <c r="D123" s="33">
        <v>986.11350000000004</v>
      </c>
      <c r="E123" s="33">
        <v>1035.100905</v>
      </c>
    </row>
    <row r="124" spans="1:7">
      <c r="A124" s="33" t="s">
        <v>416</v>
      </c>
      <c r="B124" s="33">
        <v>-150</v>
      </c>
      <c r="C124" s="33">
        <v>-165</v>
      </c>
      <c r="D124" s="33">
        <v>-181.50000000000003</v>
      </c>
      <c r="E124" s="33">
        <v>-199.65000000000003</v>
      </c>
    </row>
    <row r="125" spans="1:7">
      <c r="A125" s="33" t="s">
        <v>565</v>
      </c>
      <c r="B125" s="33">
        <v>745</v>
      </c>
      <c r="C125" s="33">
        <v>774.45</v>
      </c>
      <c r="D125" s="33">
        <v>804.61350000000004</v>
      </c>
      <c r="E125" s="33">
        <v>835.45090499999992</v>
      </c>
    </row>
    <row r="126" spans="1:7">
      <c r="A126" s="33" t="s">
        <v>59</v>
      </c>
      <c r="B126" s="33">
        <v>-120</v>
      </c>
      <c r="C126" s="33">
        <v>-132</v>
      </c>
      <c r="D126" s="33">
        <v>-145.20000000000002</v>
      </c>
      <c r="E126" s="33">
        <v>-159.72000000000003</v>
      </c>
    </row>
    <row r="127" spans="1:7">
      <c r="A127" s="33" t="s">
        <v>566</v>
      </c>
      <c r="B127" s="33">
        <v>625</v>
      </c>
      <c r="C127" s="33">
        <v>642.45000000000005</v>
      </c>
      <c r="D127" s="33">
        <v>659.4135</v>
      </c>
      <c r="E127" s="33">
        <v>675.73090499999989</v>
      </c>
    </row>
    <row r="128" spans="1:7">
      <c r="A128" s="33" t="s">
        <v>27</v>
      </c>
      <c r="B128" s="33">
        <v>-160</v>
      </c>
      <c r="C128" s="33">
        <v>-192.73500000000001</v>
      </c>
      <c r="D128" s="33">
        <v>-197.82405</v>
      </c>
      <c r="E128" s="33">
        <v>-202.71927149999996</v>
      </c>
    </row>
    <row r="129" spans="1:6">
      <c r="A129" s="33" t="s">
        <v>567</v>
      </c>
      <c r="B129" s="33">
        <v>465</v>
      </c>
      <c r="C129" s="33">
        <v>449.71500000000003</v>
      </c>
      <c r="D129" s="33">
        <v>461.58945</v>
      </c>
      <c r="E129" s="33">
        <v>473.0116334999999</v>
      </c>
    </row>
    <row r="130" spans="1:6">
      <c r="A130" s="33" t="s">
        <v>420</v>
      </c>
      <c r="B130" s="33">
        <v>-280</v>
      </c>
      <c r="C130" s="33">
        <v>-308</v>
      </c>
      <c r="D130" s="33">
        <v>-338.8</v>
      </c>
      <c r="E130" s="33">
        <v>-372.68000000000006</v>
      </c>
    </row>
    <row r="131" spans="1:6">
      <c r="A131" s="33" t="s">
        <v>568</v>
      </c>
      <c r="B131" s="33">
        <v>185</v>
      </c>
      <c r="C131" s="33">
        <v>141.71500000000003</v>
      </c>
      <c r="D131" s="33">
        <v>122.78944999999999</v>
      </c>
      <c r="E131" s="33">
        <v>100.33163349999984</v>
      </c>
    </row>
    <row r="132" spans="1:6">
      <c r="A132" s="33" t="s">
        <v>422</v>
      </c>
      <c r="B132" s="33">
        <v>550</v>
      </c>
      <c r="C132" s="33">
        <v>735</v>
      </c>
      <c r="D132" s="33">
        <v>876.71500000000003</v>
      </c>
      <c r="E132" s="33">
        <v>999.50445000000002</v>
      </c>
    </row>
    <row r="133" spans="1:6">
      <c r="A133" s="33" t="s">
        <v>569</v>
      </c>
      <c r="B133" s="33">
        <v>735</v>
      </c>
      <c r="C133" s="33">
        <v>876.71500000000003</v>
      </c>
      <c r="D133" s="33">
        <v>999.50445000000002</v>
      </c>
      <c r="E133" s="33">
        <v>1099.8360834999999</v>
      </c>
    </row>
    <row r="134" spans="1:6">
      <c r="A134" s="33" t="s">
        <v>670</v>
      </c>
      <c r="B134" s="33">
        <v>1465</v>
      </c>
      <c r="C134" s="33">
        <v>1465</v>
      </c>
      <c r="D134" s="33">
        <v>1465</v>
      </c>
      <c r="E134" s="33">
        <v>1465</v>
      </c>
    </row>
    <row r="135" spans="1:6">
      <c r="A135" s="33" t="s">
        <v>390</v>
      </c>
      <c r="B135" s="33">
        <v>2200</v>
      </c>
      <c r="C135" s="33">
        <v>2341.7150000000001</v>
      </c>
      <c r="D135" s="33">
        <v>2464.5044499999999</v>
      </c>
      <c r="E135" s="33">
        <v>2564.8360834999999</v>
      </c>
    </row>
    <row r="136" spans="1:6">
      <c r="A136" s="33" t="s">
        <v>34</v>
      </c>
      <c r="B136" s="33">
        <v>4500</v>
      </c>
      <c r="C136" s="33">
        <v>4950</v>
      </c>
      <c r="D136" s="33">
        <v>5445</v>
      </c>
      <c r="E136" s="33">
        <v>5989.5000000000009</v>
      </c>
    </row>
    <row r="143" spans="1:6">
      <c r="B143" s="33" t="s">
        <v>680</v>
      </c>
      <c r="C143" s="33">
        <v>2022</v>
      </c>
      <c r="D143" s="33">
        <v>2023</v>
      </c>
      <c r="E143" s="33">
        <v>2024</v>
      </c>
      <c r="F143" s="33">
        <v>2025</v>
      </c>
    </row>
    <row r="144" spans="1:6">
      <c r="B144" s="33" t="s">
        <v>20</v>
      </c>
      <c r="C144" s="33">
        <v>4500</v>
      </c>
      <c r="D144" s="33">
        <v>4725</v>
      </c>
      <c r="E144" s="33">
        <v>4961.25</v>
      </c>
      <c r="F144" s="33">
        <v>5209.3125</v>
      </c>
    </row>
    <row r="145" spans="2:6">
      <c r="B145" s="33" t="s">
        <v>339</v>
      </c>
      <c r="C145" s="33">
        <v>1300</v>
      </c>
      <c r="D145" s="33">
        <v>1365</v>
      </c>
      <c r="E145" s="33">
        <v>1433.25</v>
      </c>
      <c r="F145" s="33">
        <v>1504.9124999999999</v>
      </c>
    </row>
    <row r="146" spans="2:6">
      <c r="B146" s="33" t="s">
        <v>562</v>
      </c>
      <c r="C146" s="33">
        <v>1315</v>
      </c>
      <c r="D146" s="33">
        <v>1380.45</v>
      </c>
      <c r="E146" s="33">
        <v>1449.1635000000001</v>
      </c>
      <c r="F146" s="33">
        <v>1521.3034049999999</v>
      </c>
    </row>
    <row r="147" spans="2:6">
      <c r="B147" s="33" t="s">
        <v>341</v>
      </c>
      <c r="C147" s="33">
        <v>895</v>
      </c>
      <c r="D147" s="33">
        <v>939.45</v>
      </c>
      <c r="E147" s="33">
        <v>986.11350000000004</v>
      </c>
      <c r="F147" s="33">
        <v>1035.100905</v>
      </c>
    </row>
    <row r="148" spans="2:6">
      <c r="B148" s="33" t="s">
        <v>0</v>
      </c>
      <c r="C148" s="33">
        <v>745</v>
      </c>
      <c r="D148" s="33">
        <v>774.45</v>
      </c>
      <c r="E148" s="33">
        <v>804.61350000000004</v>
      </c>
      <c r="F148" s="33">
        <v>835.45090499999992</v>
      </c>
    </row>
    <row r="149" spans="2:6">
      <c r="B149" s="33" t="s">
        <v>343</v>
      </c>
      <c r="C149" s="33">
        <v>625</v>
      </c>
      <c r="D149" s="33">
        <v>642.45000000000005</v>
      </c>
      <c r="E149" s="33">
        <v>659.4135</v>
      </c>
      <c r="F149" s="33">
        <v>675.73090499999989</v>
      </c>
    </row>
    <row r="150" spans="2:6">
      <c r="B150" s="33" t="s">
        <v>253</v>
      </c>
      <c r="C150" s="33">
        <v>465</v>
      </c>
      <c r="D150" s="33">
        <v>449.71500000000003</v>
      </c>
      <c r="E150" s="33">
        <v>461.58945</v>
      </c>
      <c r="F150" s="33">
        <v>473.0116334999999</v>
      </c>
    </row>
    <row r="151" spans="2:6">
      <c r="B151" s="33" t="s">
        <v>568</v>
      </c>
      <c r="C151" s="33">
        <v>185</v>
      </c>
      <c r="D151" s="33">
        <v>141.71500000000003</v>
      </c>
      <c r="E151" s="33">
        <v>122.78944999999999</v>
      </c>
      <c r="F151" s="33">
        <v>100.33163349999984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44E2C-E69B-4A92-A117-E5CB0D9A8DD1}">
  <dimension ref="A1:Q70"/>
  <sheetViews>
    <sheetView topLeftCell="A37" zoomScale="90" workbookViewId="0">
      <selection activeCell="G42" sqref="G42:H42"/>
    </sheetView>
  </sheetViews>
  <sheetFormatPr defaultRowHeight="14.5"/>
  <cols>
    <col min="1" max="1" width="29.1796875" customWidth="1"/>
    <col min="2" max="2" width="20.26953125" customWidth="1"/>
    <col min="3" max="3" width="15.54296875" customWidth="1"/>
    <col min="4" max="7" width="12.1796875" customWidth="1"/>
    <col min="8" max="8" width="14.36328125" customWidth="1"/>
    <col min="9" max="12" width="12.1796875" customWidth="1"/>
    <col min="13" max="13" width="16.1796875" customWidth="1"/>
    <col min="14" max="14" width="17.54296875" customWidth="1"/>
    <col min="15" max="15" width="1.1796875" customWidth="1"/>
    <col min="16" max="16" width="8.54296875" hidden="1" customWidth="1"/>
    <col min="17" max="17" width="12.453125" customWidth="1"/>
    <col min="18" max="18" width="8.7265625" customWidth="1"/>
  </cols>
  <sheetData>
    <row r="1" spans="1:17">
      <c r="C1" s="9" t="s">
        <v>83</v>
      </c>
    </row>
    <row r="2" spans="1:17" ht="15" customHeight="1">
      <c r="A2" s="47" t="s">
        <v>84</v>
      </c>
      <c r="G2" s="12"/>
      <c r="H2" s="12"/>
    </row>
    <row r="3" spans="1:17" ht="15" customHeight="1">
      <c r="A3" s="13" t="s">
        <v>85</v>
      </c>
      <c r="B3" s="13"/>
      <c r="C3" s="13"/>
      <c r="D3" s="13"/>
      <c r="E3" s="13"/>
      <c r="F3" s="13"/>
      <c r="G3" s="164"/>
      <c r="H3" s="164"/>
      <c r="I3" s="13"/>
      <c r="J3" s="13"/>
      <c r="K3" s="13"/>
      <c r="L3" s="13"/>
      <c r="M3" s="13"/>
      <c r="Q3" t="s">
        <v>651</v>
      </c>
    </row>
    <row r="4" spans="1:17" ht="15" customHeight="1">
      <c r="A4" s="10" t="s">
        <v>86</v>
      </c>
      <c r="I4" s="3"/>
    </row>
    <row r="5" spans="1:17">
      <c r="A5" s="13"/>
      <c r="B5" s="13"/>
      <c r="C5" s="13"/>
      <c r="D5" s="13"/>
      <c r="E5" s="13"/>
      <c r="F5" s="163">
        <f>D26</f>
        <v>0.22474487139158894</v>
      </c>
      <c r="G5" s="13"/>
      <c r="H5" s="13"/>
      <c r="I5" s="13"/>
      <c r="J5" s="13"/>
      <c r="K5" s="13"/>
      <c r="L5" s="13"/>
      <c r="M5" s="47" t="s">
        <v>647</v>
      </c>
      <c r="N5" s="13"/>
    </row>
    <row r="6" spans="1:17">
      <c r="A6" s="47" t="s">
        <v>87</v>
      </c>
    </row>
    <row r="7" spans="1:17">
      <c r="A7" s="47" t="s">
        <v>88</v>
      </c>
      <c r="L7" t="s">
        <v>648</v>
      </c>
      <c r="M7" t="s">
        <v>649</v>
      </c>
      <c r="N7" t="s">
        <v>650</v>
      </c>
      <c r="O7" t="s">
        <v>643</v>
      </c>
    </row>
    <row r="8" spans="1:17">
      <c r="A8" s="11"/>
      <c r="B8" s="12">
        <v>2020</v>
      </c>
      <c r="C8" s="12">
        <v>2021</v>
      </c>
      <c r="D8" s="12">
        <v>2022</v>
      </c>
      <c r="E8" s="12">
        <v>2023</v>
      </c>
      <c r="F8" s="12"/>
      <c r="G8" s="12"/>
      <c r="H8" t="s">
        <v>650</v>
      </c>
      <c r="I8" s="12"/>
      <c r="J8" s="12"/>
      <c r="K8" s="12"/>
      <c r="L8" s="12">
        <v>2023</v>
      </c>
      <c r="M8" s="12">
        <v>2023</v>
      </c>
      <c r="N8" s="12">
        <v>2023</v>
      </c>
      <c r="O8" s="12">
        <v>2020</v>
      </c>
      <c r="P8" s="12">
        <v>2021</v>
      </c>
      <c r="Q8" s="12">
        <v>2022</v>
      </c>
    </row>
    <row r="9" spans="1:17">
      <c r="A9" s="13" t="s">
        <v>89</v>
      </c>
      <c r="B9" s="14">
        <v>54000</v>
      </c>
      <c r="C9" s="14">
        <v>64800</v>
      </c>
      <c r="D9" s="14">
        <v>81000</v>
      </c>
      <c r="E9" s="14">
        <f>(100%+F5)*D9</f>
        <v>99204.3345827187</v>
      </c>
      <c r="F9" s="161"/>
      <c r="G9" s="14"/>
      <c r="H9" s="49">
        <f>D9/$D$9</f>
        <v>1</v>
      </c>
      <c r="I9" s="14"/>
      <c r="J9" s="14"/>
      <c r="K9" s="14"/>
      <c r="L9" s="14">
        <f>(1+57%)*D9</f>
        <v>127169.99999999999</v>
      </c>
      <c r="M9" s="14">
        <f>(1+57%)*D9</f>
        <v>127169.99999999999</v>
      </c>
      <c r="N9" s="14">
        <f>(1+57%)*D9</f>
        <v>127169.99999999999</v>
      </c>
      <c r="O9" s="1">
        <f>B9/B$9</f>
        <v>1</v>
      </c>
      <c r="P9" s="1">
        <f>C9/C$9</f>
        <v>1</v>
      </c>
      <c r="Q9" s="1">
        <f>D9/D$9</f>
        <v>1</v>
      </c>
    </row>
    <row r="10" spans="1:17">
      <c r="A10" s="13" t="s">
        <v>21</v>
      </c>
      <c r="B10" s="15">
        <v>32400</v>
      </c>
      <c r="C10" s="15">
        <v>32400</v>
      </c>
      <c r="D10" s="15">
        <v>32400</v>
      </c>
      <c r="E10" s="15">
        <f>H10*$E$9</f>
        <v>39681.733833087485</v>
      </c>
      <c r="F10" s="15"/>
      <c r="G10" s="15"/>
      <c r="H10" s="49">
        <f t="shared" ref="H10:H21" si="0">D10/$D$9</f>
        <v>0.4</v>
      </c>
      <c r="I10" s="15"/>
      <c r="J10" s="15"/>
      <c r="K10" s="15"/>
      <c r="L10">
        <f>O10*$L$9</f>
        <v>76301.999999999985</v>
      </c>
      <c r="M10" s="15">
        <f>P10*$M$9</f>
        <v>63584.999999999993</v>
      </c>
      <c r="N10" s="15">
        <f>Q10*$N$9</f>
        <v>50868</v>
      </c>
      <c r="O10" s="1">
        <f t="shared" ref="O10:O19" si="1">B10/B$9</f>
        <v>0.6</v>
      </c>
      <c r="P10" s="1">
        <f t="shared" ref="P10:P19" si="2">C10/C$9</f>
        <v>0.5</v>
      </c>
      <c r="Q10" s="1">
        <f t="shared" ref="Q10:Q19" si="3">D10/D$9</f>
        <v>0.4</v>
      </c>
    </row>
    <row r="11" spans="1:17">
      <c r="A11" s="47" t="s">
        <v>22</v>
      </c>
      <c r="B11" s="16">
        <f>B9-B10</f>
        <v>21600</v>
      </c>
      <c r="C11" s="16">
        <f t="shared" ref="C11:N11" si="4">C9-C10</f>
        <v>32400</v>
      </c>
      <c r="D11" s="16">
        <f t="shared" si="4"/>
        <v>48600</v>
      </c>
      <c r="E11" s="16">
        <f t="shared" si="4"/>
        <v>59522.600749631216</v>
      </c>
      <c r="F11" s="16"/>
      <c r="G11" s="16"/>
      <c r="H11" s="49">
        <f t="shared" si="0"/>
        <v>0.6</v>
      </c>
      <c r="I11" s="16"/>
      <c r="J11" s="16"/>
      <c r="K11" s="16"/>
      <c r="L11" s="16">
        <f t="shared" si="4"/>
        <v>50868</v>
      </c>
      <c r="M11" s="16">
        <f t="shared" si="4"/>
        <v>63584.999999999993</v>
      </c>
      <c r="N11" s="16">
        <f t="shared" si="4"/>
        <v>76301.999999999985</v>
      </c>
      <c r="O11" s="1">
        <f t="shared" si="1"/>
        <v>0.4</v>
      </c>
      <c r="P11" s="1">
        <f t="shared" si="2"/>
        <v>0.5</v>
      </c>
      <c r="Q11" s="1">
        <f t="shared" si="3"/>
        <v>0.6</v>
      </c>
    </row>
    <row r="12" spans="1:17">
      <c r="A12" s="13" t="s">
        <v>23</v>
      </c>
      <c r="B12" s="15">
        <v>10800</v>
      </c>
      <c r="C12" s="15">
        <v>10125</v>
      </c>
      <c r="D12" s="15">
        <v>21094</v>
      </c>
      <c r="E12" s="15">
        <f t="shared" ref="E12" si="5">H12*$E$9</f>
        <v>25834.768317134174</v>
      </c>
      <c r="F12" s="15"/>
      <c r="G12" s="15"/>
      <c r="H12" s="49">
        <f t="shared" si="0"/>
        <v>0.26041975308641974</v>
      </c>
      <c r="I12" s="15"/>
      <c r="J12" s="15"/>
      <c r="K12" s="15"/>
      <c r="L12">
        <f>O12*$L$9</f>
        <v>25434</v>
      </c>
      <c r="M12" s="15">
        <f>P12*$M$9</f>
        <v>19870.312499999996</v>
      </c>
      <c r="N12" s="15">
        <f>Q12*$N$9</f>
        <v>33117.579999999994</v>
      </c>
      <c r="O12" s="1">
        <f t="shared" si="1"/>
        <v>0.2</v>
      </c>
      <c r="P12" s="1">
        <f t="shared" si="2"/>
        <v>0.15625</v>
      </c>
      <c r="Q12" s="1">
        <f t="shared" si="3"/>
        <v>0.26041975308641974</v>
      </c>
    </row>
    <row r="13" spans="1:17">
      <c r="A13" s="47" t="s">
        <v>90</v>
      </c>
      <c r="B13" s="16">
        <f>B11-B12</f>
        <v>10800</v>
      </c>
      <c r="C13" s="16">
        <f t="shared" ref="C13:N13" si="6">C11-C12</f>
        <v>22275</v>
      </c>
      <c r="D13" s="16">
        <f t="shared" si="6"/>
        <v>27506</v>
      </c>
      <c r="E13" s="16">
        <f t="shared" si="6"/>
        <v>33687.832432497045</v>
      </c>
      <c r="F13" s="16"/>
      <c r="G13" s="16"/>
      <c r="H13" s="49">
        <f t="shared" si="0"/>
        <v>0.33958024691358024</v>
      </c>
      <c r="I13" s="16"/>
      <c r="J13" s="16"/>
      <c r="K13" s="16"/>
      <c r="L13" s="16">
        <f t="shared" si="6"/>
        <v>25434</v>
      </c>
      <c r="M13" s="16">
        <f t="shared" si="6"/>
        <v>43714.6875</v>
      </c>
      <c r="N13" s="16">
        <f t="shared" si="6"/>
        <v>43184.419999999991</v>
      </c>
      <c r="O13" s="1">
        <f t="shared" si="1"/>
        <v>0.2</v>
      </c>
      <c r="P13" s="1">
        <f t="shared" si="2"/>
        <v>0.34375</v>
      </c>
      <c r="Q13" s="1">
        <f t="shared" si="3"/>
        <v>0.33958024691358024</v>
      </c>
    </row>
    <row r="14" spans="1:17">
      <c r="A14" s="13" t="s">
        <v>91</v>
      </c>
      <c r="B14" s="17">
        <v>600</v>
      </c>
      <c r="C14" s="17">
        <v>800</v>
      </c>
      <c r="D14" s="17">
        <v>750</v>
      </c>
      <c r="E14" s="15">
        <v>750</v>
      </c>
      <c r="F14" s="17"/>
      <c r="G14" s="17"/>
      <c r="H14" s="49">
        <f t="shared" si="0"/>
        <v>9.2592592592592587E-3</v>
      </c>
      <c r="I14" s="17"/>
      <c r="J14" s="17"/>
      <c r="K14" s="17"/>
      <c r="L14">
        <f>O14*$L$9</f>
        <v>1413</v>
      </c>
      <c r="M14" s="15">
        <f>P14*$M$9</f>
        <v>1569.9999999999998</v>
      </c>
      <c r="N14" s="15">
        <f>Q14*$N$9</f>
        <v>1177.4999999999998</v>
      </c>
      <c r="O14" s="1">
        <f t="shared" si="1"/>
        <v>1.1111111111111112E-2</v>
      </c>
      <c r="P14" s="1">
        <f t="shared" si="2"/>
        <v>1.2345679012345678E-2</v>
      </c>
      <c r="Q14" s="1">
        <f t="shared" si="3"/>
        <v>9.2592592592592587E-3</v>
      </c>
    </row>
    <row r="15" spans="1:17">
      <c r="A15" s="47" t="s">
        <v>92</v>
      </c>
      <c r="B15" s="16">
        <f>B13-B14</f>
        <v>10200</v>
      </c>
      <c r="C15" s="16">
        <f t="shared" ref="C15:N15" si="7">C13-C14</f>
        <v>21475</v>
      </c>
      <c r="D15" s="16">
        <f t="shared" si="7"/>
        <v>26756</v>
      </c>
      <c r="E15" s="16">
        <f t="shared" si="7"/>
        <v>32937.832432497045</v>
      </c>
      <c r="F15" s="16"/>
      <c r="G15" s="16"/>
      <c r="H15" s="49">
        <f t="shared" si="0"/>
        <v>0.330320987654321</v>
      </c>
      <c r="I15" s="16"/>
      <c r="J15" s="16"/>
      <c r="K15" s="16"/>
      <c r="L15" s="16">
        <f t="shared" si="7"/>
        <v>24021</v>
      </c>
      <c r="M15" s="16">
        <f t="shared" si="7"/>
        <v>42144.6875</v>
      </c>
      <c r="N15" s="16">
        <f t="shared" si="7"/>
        <v>42006.919999999991</v>
      </c>
      <c r="O15" s="1">
        <f t="shared" si="1"/>
        <v>0.18888888888888888</v>
      </c>
      <c r="P15" s="1">
        <f t="shared" si="2"/>
        <v>0.33140432098765432</v>
      </c>
      <c r="Q15" s="1">
        <f t="shared" si="3"/>
        <v>0.330320987654321</v>
      </c>
    </row>
    <row r="16" spans="1:17">
      <c r="A16" s="13" t="s">
        <v>93</v>
      </c>
      <c r="B16" s="15">
        <v>5000</v>
      </c>
      <c r="C16" s="15">
        <v>7000</v>
      </c>
      <c r="D16" s="15">
        <v>9000</v>
      </c>
      <c r="E16" s="15">
        <v>9000</v>
      </c>
      <c r="F16" s="15"/>
      <c r="G16" s="15"/>
      <c r="H16" s="49">
        <f t="shared" si="0"/>
        <v>0.1111111111111111</v>
      </c>
      <c r="I16" s="15"/>
      <c r="J16" s="15"/>
      <c r="K16" s="15"/>
      <c r="L16">
        <f>O16*$L$9</f>
        <v>11774.999999999998</v>
      </c>
      <c r="M16" s="15">
        <f>P16*$M$9</f>
        <v>13737.499999999998</v>
      </c>
      <c r="N16" s="15">
        <f>Q16*$N$9</f>
        <v>14129.999999999998</v>
      </c>
      <c r="O16" s="1">
        <f t="shared" si="1"/>
        <v>9.2592592592592587E-2</v>
      </c>
      <c r="P16" s="1">
        <f t="shared" si="2"/>
        <v>0.10802469135802469</v>
      </c>
      <c r="Q16" s="1">
        <f t="shared" si="3"/>
        <v>0.1111111111111111</v>
      </c>
    </row>
    <row r="17" spans="1:17">
      <c r="A17" s="47" t="s">
        <v>26</v>
      </c>
      <c r="B17" s="16">
        <f>B15-B16</f>
        <v>5200</v>
      </c>
      <c r="C17" s="16">
        <f t="shared" ref="C17:N17" si="8">C15-C16</f>
        <v>14475</v>
      </c>
      <c r="D17" s="16">
        <f t="shared" si="8"/>
        <v>17756</v>
      </c>
      <c r="E17" s="16">
        <f t="shared" si="8"/>
        <v>23937.832432497045</v>
      </c>
      <c r="F17" s="16"/>
      <c r="G17" s="16"/>
      <c r="H17" s="49">
        <f t="shared" si="0"/>
        <v>0.21920987654320986</v>
      </c>
      <c r="I17" s="16"/>
      <c r="J17" s="16"/>
      <c r="K17" s="16"/>
      <c r="L17" s="16">
        <f t="shared" si="8"/>
        <v>12246.000000000002</v>
      </c>
      <c r="M17" s="16">
        <f t="shared" si="8"/>
        <v>28407.1875</v>
      </c>
      <c r="N17" s="16">
        <f t="shared" si="8"/>
        <v>27876.919999999991</v>
      </c>
      <c r="O17" s="1">
        <f t="shared" si="1"/>
        <v>9.6296296296296297E-2</v>
      </c>
      <c r="P17" s="1">
        <f t="shared" si="2"/>
        <v>0.22337962962962962</v>
      </c>
      <c r="Q17" s="1">
        <f t="shared" si="3"/>
        <v>0.21920987654320986</v>
      </c>
    </row>
    <row r="18" spans="1:17">
      <c r="A18" s="13" t="s">
        <v>27</v>
      </c>
      <c r="B18" s="15">
        <v>1560</v>
      </c>
      <c r="C18" s="15">
        <v>4343</v>
      </c>
      <c r="D18" s="15">
        <v>5327</v>
      </c>
      <c r="E18" s="15">
        <f>30%*E17</f>
        <v>7181.3497297491131</v>
      </c>
      <c r="F18" s="15"/>
      <c r="G18" s="15"/>
      <c r="H18" s="49">
        <f t="shared" si="0"/>
        <v>6.5765432098765439E-2</v>
      </c>
      <c r="I18" s="15"/>
      <c r="J18" s="15"/>
      <c r="K18" s="15"/>
      <c r="L18" s="15">
        <f>30%*L17</f>
        <v>3673.8000000000006</v>
      </c>
      <c r="M18" s="15">
        <f>30%*M17</f>
        <v>8522.15625</v>
      </c>
      <c r="N18" s="15">
        <f>30%*N17</f>
        <v>8363.0759999999973</v>
      </c>
      <c r="O18" s="1">
        <f t="shared" si="1"/>
        <v>2.8888888888888888E-2</v>
      </c>
      <c r="P18" s="1">
        <f t="shared" si="2"/>
        <v>6.7021604938271612E-2</v>
      </c>
      <c r="Q18" s="1">
        <f t="shared" si="3"/>
        <v>6.5765432098765439E-2</v>
      </c>
    </row>
    <row r="19" spans="1:17">
      <c r="A19" s="47" t="s">
        <v>253</v>
      </c>
      <c r="B19" s="16">
        <f>B17-B18</f>
        <v>3640</v>
      </c>
      <c r="C19" s="16">
        <f t="shared" ref="C19:N19" si="9">C17-C18</f>
        <v>10132</v>
      </c>
      <c r="D19" s="16">
        <f t="shared" si="9"/>
        <v>12429</v>
      </c>
      <c r="E19" s="16">
        <f t="shared" si="9"/>
        <v>16756.482702747933</v>
      </c>
      <c r="F19" s="16"/>
      <c r="G19" s="16"/>
      <c r="H19" s="49">
        <f t="shared" si="0"/>
        <v>0.15344444444444444</v>
      </c>
      <c r="I19" s="16"/>
      <c r="J19" s="16"/>
      <c r="K19" s="16"/>
      <c r="L19" s="16">
        <f>L17-L18</f>
        <v>8572.2000000000007</v>
      </c>
      <c r="M19" s="16">
        <f t="shared" si="9"/>
        <v>19885.03125</v>
      </c>
      <c r="N19" s="16">
        <f t="shared" si="9"/>
        <v>19513.843999999994</v>
      </c>
      <c r="O19" s="1">
        <f t="shared" si="1"/>
        <v>6.7407407407407402E-2</v>
      </c>
      <c r="P19" s="1">
        <f t="shared" si="2"/>
        <v>0.15635802469135804</v>
      </c>
      <c r="Q19" s="1">
        <f t="shared" si="3"/>
        <v>0.15344444444444444</v>
      </c>
    </row>
    <row r="20" spans="1:17">
      <c r="A20" s="47" t="s">
        <v>254</v>
      </c>
      <c r="B20" s="16">
        <v>-10720</v>
      </c>
      <c r="C20" s="16">
        <f>B21</f>
        <v>-7080</v>
      </c>
      <c r="D20" s="16">
        <f t="shared" ref="D20:E20" si="10">C21</f>
        <v>3052</v>
      </c>
      <c r="E20" s="16">
        <f t="shared" si="10"/>
        <v>15481</v>
      </c>
      <c r="F20" s="16"/>
      <c r="G20" s="16"/>
      <c r="H20" s="49">
        <f t="shared" si="0"/>
        <v>3.7679012345679011E-2</v>
      </c>
      <c r="I20" s="16"/>
      <c r="J20" s="16"/>
      <c r="K20" s="16"/>
      <c r="L20" s="16">
        <f>D21</f>
        <v>15481</v>
      </c>
      <c r="M20" s="16">
        <f t="shared" ref="M20:N20" si="11">L21</f>
        <v>24053.200000000001</v>
      </c>
      <c r="N20" s="16">
        <f t="shared" si="11"/>
        <v>43938.231249999997</v>
      </c>
    </row>
    <row r="21" spans="1:17">
      <c r="A21" s="47" t="s">
        <v>652</v>
      </c>
      <c r="B21" s="16">
        <f>SUM(B19:B20)</f>
        <v>-7080</v>
      </c>
      <c r="C21" s="16">
        <f>SUM(C19:C20)</f>
        <v>3052</v>
      </c>
      <c r="D21" s="16">
        <f t="shared" ref="D21:E21" si="12">SUM(D19:D20)</f>
        <v>15481</v>
      </c>
      <c r="E21" s="16">
        <f t="shared" si="12"/>
        <v>32237.482702747933</v>
      </c>
      <c r="F21" s="16"/>
      <c r="G21" s="16"/>
      <c r="H21" s="49">
        <f t="shared" si="0"/>
        <v>0.19112345679012346</v>
      </c>
      <c r="I21" s="16"/>
      <c r="J21" s="16"/>
      <c r="K21" s="16"/>
      <c r="L21" s="16">
        <f>SUM(L19:L20)</f>
        <v>24053.200000000001</v>
      </c>
      <c r="M21" s="16">
        <f t="shared" ref="M21:N21" si="13">SUM(M19:M20)</f>
        <v>43938.231249999997</v>
      </c>
      <c r="N21" s="16">
        <f t="shared" si="13"/>
        <v>63452.075249999994</v>
      </c>
    </row>
    <row r="22" spans="1:17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7">
      <c r="A23" s="4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7" ht="27">
      <c r="A24" s="47" t="s">
        <v>363</v>
      </c>
      <c r="B24" s="162"/>
      <c r="C24" s="162">
        <f t="shared" ref="C24:D24" si="14">C9/B9-1</f>
        <v>0.19999999999999996</v>
      </c>
      <c r="D24" s="162">
        <f t="shared" si="14"/>
        <v>0.25</v>
      </c>
      <c r="E24" s="49"/>
      <c r="F24" s="49"/>
      <c r="G24" s="49"/>
      <c r="H24" s="165" t="s">
        <v>653</v>
      </c>
      <c r="I24" s="49"/>
      <c r="J24" s="49"/>
      <c r="K24" s="49"/>
      <c r="L24" s="49"/>
      <c r="M24" s="49"/>
      <c r="N24" s="49"/>
    </row>
    <row r="25" spans="1:17" ht="25.5">
      <c r="A25" s="47"/>
      <c r="B25" s="18"/>
      <c r="C25" s="18"/>
      <c r="D25" s="18"/>
      <c r="E25" s="18"/>
      <c r="F25" s="18"/>
      <c r="G25" s="18"/>
      <c r="H25" s="166" t="s">
        <v>654</v>
      </c>
      <c r="I25" s="18"/>
      <c r="J25" s="18"/>
      <c r="K25" s="18"/>
      <c r="L25" s="18"/>
      <c r="M25" s="18"/>
      <c r="N25" s="18"/>
    </row>
    <row r="26" spans="1:17">
      <c r="A26" s="4" t="s">
        <v>366</v>
      </c>
      <c r="D26" s="97">
        <f>POWER(D9/B9,1/2)-1</f>
        <v>0.22474487139158894</v>
      </c>
      <c r="E26" s="97"/>
      <c r="F26" s="97"/>
      <c r="G26" s="97"/>
      <c r="H26" s="97" t="s">
        <v>655</v>
      </c>
      <c r="I26" s="97"/>
      <c r="J26" s="97"/>
      <c r="K26" s="97"/>
      <c r="L26" s="97"/>
      <c r="M26" s="97"/>
      <c r="N26" s="97"/>
    </row>
    <row r="27" spans="1:17">
      <c r="A27" s="47" t="s">
        <v>364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7">
      <c r="A28" s="47"/>
      <c r="B28" s="18"/>
      <c r="C28" s="18"/>
      <c r="D28" s="18"/>
      <c r="E28" s="18"/>
      <c r="F28" s="18"/>
      <c r="G28" s="18"/>
      <c r="H28" s="18" t="s">
        <v>656</v>
      </c>
      <c r="I28" s="18"/>
      <c r="J28" s="18"/>
      <c r="K28" s="18"/>
      <c r="L28" s="18"/>
      <c r="M28" s="18"/>
      <c r="N28" s="18"/>
    </row>
    <row r="29" spans="1:17" ht="21">
      <c r="A29" s="47" t="s">
        <v>94</v>
      </c>
      <c r="B29" s="47"/>
      <c r="C29" s="50"/>
      <c r="D29" s="50"/>
      <c r="E29" s="50"/>
      <c r="F29" s="50"/>
      <c r="G29" s="50"/>
      <c r="H29" s="167" t="s">
        <v>657</v>
      </c>
      <c r="I29" s="50"/>
      <c r="J29" s="50"/>
      <c r="K29" s="50"/>
      <c r="L29" s="50"/>
      <c r="M29" s="50"/>
      <c r="N29" s="50"/>
    </row>
    <row r="30" spans="1:17">
      <c r="A30" s="47" t="s">
        <v>67</v>
      </c>
      <c r="B30" s="12">
        <v>2020</v>
      </c>
      <c r="C30" s="12">
        <v>2021</v>
      </c>
      <c r="D30" s="12">
        <v>2022</v>
      </c>
      <c r="E30" s="12"/>
      <c r="F30" s="12"/>
      <c r="G30" s="12" t="s">
        <v>667</v>
      </c>
      <c r="H30" s="12" t="s">
        <v>666</v>
      </c>
      <c r="I30" s="12"/>
      <c r="J30" s="12"/>
      <c r="K30" s="12"/>
      <c r="L30" s="12">
        <v>2023</v>
      </c>
      <c r="M30" s="13"/>
      <c r="N30" s="13"/>
      <c r="O30" t="s">
        <v>643</v>
      </c>
    </row>
    <row r="31" spans="1:17">
      <c r="A31" s="47" t="s">
        <v>95</v>
      </c>
      <c r="B31" s="11"/>
      <c r="C31" s="11"/>
      <c r="D31" s="11"/>
      <c r="E31" s="11"/>
      <c r="F31" s="11"/>
      <c r="G31" s="11" t="s">
        <v>658</v>
      </c>
      <c r="H31" s="168">
        <f>D9</f>
        <v>81000</v>
      </c>
      <c r="I31" s="11"/>
      <c r="J31" s="11"/>
      <c r="K31" s="11"/>
      <c r="L31" s="11"/>
      <c r="M31" s="11"/>
      <c r="N31" s="11"/>
      <c r="O31" s="12">
        <v>2020</v>
      </c>
      <c r="P31" s="12">
        <v>2021</v>
      </c>
      <c r="Q31" s="12">
        <v>2022</v>
      </c>
    </row>
    <row r="32" spans="1:17">
      <c r="A32" s="13" t="s">
        <v>30</v>
      </c>
      <c r="B32" s="15">
        <v>25800</v>
      </c>
      <c r="C32" s="15">
        <v>45200</v>
      </c>
      <c r="D32" s="15">
        <v>46700</v>
      </c>
      <c r="E32" s="15"/>
      <c r="F32" s="15"/>
      <c r="G32" s="11" t="s">
        <v>659</v>
      </c>
      <c r="H32" s="15">
        <f>B9</f>
        <v>54000</v>
      </c>
      <c r="I32" s="15"/>
      <c r="J32" s="15"/>
      <c r="K32" s="15"/>
      <c r="L32" s="15"/>
      <c r="M32" s="15"/>
      <c r="N32" s="15"/>
      <c r="O32" s="1">
        <f>B32/B$38</f>
        <v>0.56953642384105962</v>
      </c>
      <c r="P32" s="1">
        <f>C32/C$38</f>
        <v>0.59709379128137385</v>
      </c>
      <c r="Q32" s="1">
        <f>D32/D$38</f>
        <v>0.49962020305763283</v>
      </c>
    </row>
    <row r="33" spans="1:17">
      <c r="A33" s="47" t="s">
        <v>31</v>
      </c>
      <c r="B33" s="11"/>
      <c r="C33" s="11"/>
      <c r="D33" s="11"/>
      <c r="E33" s="11"/>
      <c r="F33" s="11"/>
      <c r="G33" s="11" t="s">
        <v>660</v>
      </c>
      <c r="H33" s="11">
        <v>2</v>
      </c>
      <c r="I33" s="11"/>
      <c r="J33" s="11"/>
      <c r="K33" s="11"/>
      <c r="L33" s="11"/>
      <c r="M33" s="11"/>
      <c r="N33" s="11"/>
      <c r="O33" s="1"/>
      <c r="P33" s="1"/>
      <c r="Q33" s="1"/>
    </row>
    <row r="34" spans="1:17">
      <c r="A34" s="13" t="s">
        <v>32</v>
      </c>
      <c r="B34" s="14">
        <v>15000</v>
      </c>
      <c r="C34" s="14">
        <v>21750</v>
      </c>
      <c r="D34" s="14">
        <v>27488</v>
      </c>
      <c r="E34" s="14"/>
      <c r="F34" s="14"/>
      <c r="G34" s="14" t="s">
        <v>661</v>
      </c>
      <c r="H34" s="169">
        <f>LOG10(H31/H32)/H33</f>
        <v>8.8045629527840619E-2</v>
      </c>
      <c r="I34" s="14"/>
      <c r="J34" s="14"/>
      <c r="K34" s="14"/>
      <c r="L34" s="14"/>
      <c r="M34" s="14"/>
      <c r="N34" s="14"/>
      <c r="O34" s="1">
        <f t="shared" ref="O34:Q38" si="15">B34/B$38</f>
        <v>0.33112582781456956</v>
      </c>
      <c r="P34" s="1">
        <f t="shared" si="15"/>
        <v>0.28731836195508587</v>
      </c>
      <c r="Q34" s="1">
        <f t="shared" si="15"/>
        <v>0.29408051695178183</v>
      </c>
    </row>
    <row r="35" spans="1:17">
      <c r="A35" s="13" t="s">
        <v>96</v>
      </c>
      <c r="B35" s="14">
        <v>4500</v>
      </c>
      <c r="C35" s="14">
        <v>8750</v>
      </c>
      <c r="D35" s="14">
        <v>15460</v>
      </c>
      <c r="E35" s="14"/>
      <c r="F35" s="14"/>
      <c r="G35" s="14" t="s">
        <v>662</v>
      </c>
      <c r="H35" s="14"/>
      <c r="I35" s="14"/>
      <c r="J35" s="14"/>
      <c r="K35" s="14"/>
      <c r="L35" s="14"/>
      <c r="M35" s="14"/>
      <c r="N35" s="14"/>
      <c r="O35" s="1">
        <f t="shared" si="15"/>
        <v>9.9337748344370855E-2</v>
      </c>
      <c r="P35" s="1">
        <f t="shared" si="15"/>
        <v>0.11558784676354029</v>
      </c>
      <c r="Q35" s="1">
        <f t="shared" si="15"/>
        <v>0.1653988937745397</v>
      </c>
    </row>
    <row r="36" spans="1:17">
      <c r="A36" s="13" t="s">
        <v>97</v>
      </c>
      <c r="B36" s="17">
        <v>0</v>
      </c>
      <c r="C36" s="17">
        <v>0</v>
      </c>
      <c r="D36" s="15">
        <v>3823</v>
      </c>
      <c r="E36" s="15"/>
      <c r="F36" s="15"/>
      <c r="G36" s="15" t="s">
        <v>663</v>
      </c>
      <c r="H36" s="15"/>
      <c r="I36" s="15"/>
      <c r="J36" s="15"/>
      <c r="K36" s="15"/>
      <c r="L36" s="15"/>
      <c r="M36" s="15"/>
      <c r="N36" s="15"/>
      <c r="O36" s="1">
        <f t="shared" si="15"/>
        <v>0</v>
      </c>
      <c r="P36" s="1">
        <f t="shared" si="15"/>
        <v>0</v>
      </c>
      <c r="Q36" s="1">
        <f t="shared" si="15"/>
        <v>4.0900386216045616E-2</v>
      </c>
    </row>
    <row r="37" spans="1:17">
      <c r="A37" s="47" t="s">
        <v>98</v>
      </c>
      <c r="B37" s="19">
        <f>SUM(B34:B36)</f>
        <v>19500</v>
      </c>
      <c r="C37" s="19">
        <f t="shared" ref="C37:D37" si="16">SUM(C34:C36)</f>
        <v>30500</v>
      </c>
      <c r="D37" s="19">
        <f t="shared" si="16"/>
        <v>46771</v>
      </c>
      <c r="E37" s="19"/>
      <c r="F37" s="19"/>
      <c r="G37" s="19" t="s">
        <v>664</v>
      </c>
      <c r="H37" s="170">
        <f>10^H34</f>
        <v>1.2247448713915889</v>
      </c>
      <c r="I37" s="19"/>
      <c r="J37" s="19"/>
      <c r="K37" s="19"/>
      <c r="L37" s="19"/>
      <c r="M37" s="19"/>
      <c r="N37" s="19"/>
      <c r="O37" s="1">
        <f t="shared" si="15"/>
        <v>0.43046357615894038</v>
      </c>
      <c r="P37" s="1">
        <f t="shared" si="15"/>
        <v>0.40290620871862615</v>
      </c>
      <c r="Q37" s="1">
        <f t="shared" si="15"/>
        <v>0.50037979694236712</v>
      </c>
    </row>
    <row r="38" spans="1:17" ht="15" thickBot="1">
      <c r="A38" s="47" t="s">
        <v>34</v>
      </c>
      <c r="B38" s="18">
        <f>SUM(B37,B32)</f>
        <v>45300</v>
      </c>
      <c r="C38" s="18">
        <f t="shared" ref="C38:D38" si="17">SUM(C37,C32)</f>
        <v>75700</v>
      </c>
      <c r="D38" s="18">
        <f t="shared" si="17"/>
        <v>93471</v>
      </c>
      <c r="E38" s="18"/>
      <c r="F38" s="18"/>
      <c r="G38" s="18" t="s">
        <v>665</v>
      </c>
      <c r="H38" s="170">
        <v>1.2247448713915889</v>
      </c>
      <c r="I38" s="18"/>
      <c r="J38" s="18"/>
      <c r="K38" s="18"/>
      <c r="L38" s="18"/>
      <c r="M38" s="18"/>
      <c r="N38" s="18"/>
      <c r="O38" s="160">
        <f t="shared" si="15"/>
        <v>1</v>
      </c>
      <c r="P38" s="160">
        <f t="shared" si="15"/>
        <v>1</v>
      </c>
      <c r="Q38" s="160">
        <f t="shared" si="15"/>
        <v>1</v>
      </c>
    </row>
    <row r="39" spans="1:17" ht="15" thickTop="1">
      <c r="A39" s="47" t="s">
        <v>99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"/>
      <c r="P39" s="1"/>
      <c r="Q39" s="1"/>
    </row>
    <row r="40" spans="1:17">
      <c r="A40" s="47" t="s">
        <v>100</v>
      </c>
      <c r="B40" s="20"/>
      <c r="C40" s="20"/>
      <c r="D40" s="20"/>
      <c r="E40" s="20"/>
      <c r="F40" s="20"/>
      <c r="G40" s="20" t="s">
        <v>666</v>
      </c>
      <c r="H40" s="169">
        <f>H38-1</f>
        <v>0.22474487139158894</v>
      </c>
      <c r="I40" s="20"/>
      <c r="J40" s="20"/>
      <c r="K40" s="20"/>
      <c r="L40" s="20"/>
      <c r="M40" s="20"/>
      <c r="N40" s="20"/>
      <c r="O40" s="1"/>
      <c r="P40" s="1"/>
      <c r="Q40" s="1"/>
    </row>
    <row r="41" spans="1:17">
      <c r="A41" s="13" t="s">
        <v>101</v>
      </c>
      <c r="B41" s="15">
        <v>33333</v>
      </c>
      <c r="C41" s="15">
        <v>46667</v>
      </c>
      <c r="D41" s="15">
        <v>60000</v>
      </c>
      <c r="E41" s="15"/>
      <c r="F41" s="15"/>
      <c r="I41" s="15"/>
      <c r="J41" s="15"/>
      <c r="K41" s="15"/>
      <c r="L41" s="15"/>
      <c r="M41" s="15"/>
      <c r="N41" s="15"/>
      <c r="O41" s="1">
        <f>B41/B$38</f>
        <v>0.73582781456953639</v>
      </c>
      <c r="P41" s="1">
        <f>C41/C$38</f>
        <v>0.61647291941875826</v>
      </c>
      <c r="Q41" s="1">
        <f>D41/D$38</f>
        <v>0.64191032512757973</v>
      </c>
    </row>
    <row r="42" spans="1:17" ht="23.5">
      <c r="A42" s="47" t="s">
        <v>40</v>
      </c>
      <c r="B42" s="11"/>
      <c r="C42" s="11"/>
      <c r="D42" s="11"/>
      <c r="E42" s="11"/>
      <c r="F42" s="11"/>
      <c r="G42" s="171" t="s">
        <v>668</v>
      </c>
      <c r="H42" s="30" t="s">
        <v>669</v>
      </c>
      <c r="I42" s="11"/>
      <c r="J42" s="11"/>
      <c r="K42" s="11"/>
      <c r="L42" s="11"/>
      <c r="M42" s="11"/>
      <c r="N42" s="11"/>
      <c r="O42" s="1"/>
      <c r="P42" s="1"/>
      <c r="Q42" s="1"/>
    </row>
    <row r="43" spans="1:17">
      <c r="A43" s="13" t="s">
        <v>102</v>
      </c>
      <c r="B43" s="14">
        <v>3750</v>
      </c>
      <c r="C43" s="14">
        <v>6658</v>
      </c>
      <c r="D43" s="14">
        <v>7989</v>
      </c>
      <c r="E43" s="14"/>
      <c r="F43" s="14"/>
      <c r="G43" s="20" t="s">
        <v>666</v>
      </c>
      <c r="H43" s="169">
        <f>POWER(H31/H32,1/2)-1</f>
        <v>0.22474487139158894</v>
      </c>
      <c r="I43" s="14"/>
      <c r="J43" s="14"/>
      <c r="K43" s="14"/>
      <c r="L43" s="14"/>
      <c r="M43" s="14"/>
      <c r="N43" s="14"/>
      <c r="O43" s="1">
        <f t="shared" ref="O43:Q45" si="18">B43/B$38</f>
        <v>8.2781456953642391E-2</v>
      </c>
      <c r="P43" s="1">
        <f t="shared" si="18"/>
        <v>8.7952443857331572E-2</v>
      </c>
      <c r="Q43" s="1">
        <f t="shared" si="18"/>
        <v>8.5470359790737235E-2</v>
      </c>
    </row>
    <row r="44" spans="1:17">
      <c r="A44" s="13" t="s">
        <v>43</v>
      </c>
      <c r="B44" s="15">
        <v>5297</v>
      </c>
      <c r="C44" s="15">
        <v>9322</v>
      </c>
      <c r="D44" s="17">
        <v>0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">
        <f t="shared" si="18"/>
        <v>0.11693156732891832</v>
      </c>
      <c r="P44" s="1">
        <f t="shared" si="18"/>
        <v>0.12314398943196829</v>
      </c>
      <c r="Q44" s="1">
        <f t="shared" si="18"/>
        <v>0</v>
      </c>
    </row>
    <row r="45" spans="1:17">
      <c r="A45" s="47" t="s">
        <v>641</v>
      </c>
      <c r="B45" s="19">
        <f>SUM(B43:B44)</f>
        <v>9047</v>
      </c>
      <c r="C45" s="19">
        <f t="shared" ref="C45:D45" si="19">SUM(C43:C44)</f>
        <v>15980</v>
      </c>
      <c r="D45" s="19">
        <f t="shared" si="19"/>
        <v>7989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">
        <f t="shared" si="18"/>
        <v>0.19971302428256071</v>
      </c>
      <c r="P45" s="1">
        <f t="shared" si="18"/>
        <v>0.21109643328929986</v>
      </c>
      <c r="Q45" s="1">
        <f t="shared" si="18"/>
        <v>8.5470359790737235E-2</v>
      </c>
    </row>
    <row r="46" spans="1:17">
      <c r="A46" s="47" t="s">
        <v>103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"/>
      <c r="P46" s="1"/>
      <c r="Q46" s="1"/>
    </row>
    <row r="47" spans="1:17">
      <c r="A47" s="13" t="s">
        <v>104</v>
      </c>
      <c r="B47" s="14">
        <v>10000</v>
      </c>
      <c r="C47" s="14">
        <v>10000</v>
      </c>
      <c r="D47" s="14">
        <v>10000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">
        <f t="shared" ref="O47:Q50" si="20">B47/B$38</f>
        <v>0.22075055187637968</v>
      </c>
      <c r="P47" s="1">
        <f t="shared" si="20"/>
        <v>0.13210039630118892</v>
      </c>
      <c r="Q47" s="1">
        <f t="shared" si="20"/>
        <v>0.10698505418792995</v>
      </c>
    </row>
    <row r="48" spans="1:17">
      <c r="A48" s="13" t="s">
        <v>38</v>
      </c>
      <c r="B48" s="15">
        <v>-7080</v>
      </c>
      <c r="C48" s="15">
        <v>3053</v>
      </c>
      <c r="D48" s="15">
        <v>15482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">
        <f t="shared" si="20"/>
        <v>-0.15629139072847681</v>
      </c>
      <c r="P48" s="1">
        <f t="shared" si="20"/>
        <v>4.0330250990752971E-2</v>
      </c>
      <c r="Q48" s="1">
        <f t="shared" si="20"/>
        <v>0.16563426089375313</v>
      </c>
    </row>
    <row r="49" spans="1:17">
      <c r="A49" s="47" t="s">
        <v>365</v>
      </c>
      <c r="B49" s="19">
        <f>SUM(B47:B48)</f>
        <v>2920</v>
      </c>
      <c r="C49" s="19">
        <f t="shared" ref="C49:D49" si="21">SUM(C47:C48)</f>
        <v>13053</v>
      </c>
      <c r="D49" s="19">
        <f t="shared" si="21"/>
        <v>25482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">
        <f t="shared" si="20"/>
        <v>6.4459161147902871E-2</v>
      </c>
      <c r="P49" s="1">
        <f t="shared" si="20"/>
        <v>0.17243064729194188</v>
      </c>
      <c r="Q49" s="1">
        <f t="shared" si="20"/>
        <v>0.27261931508168308</v>
      </c>
    </row>
    <row r="50" spans="1:17" ht="15" thickBot="1">
      <c r="A50" s="47" t="s">
        <v>44</v>
      </c>
      <c r="B50" s="18">
        <f>SUM(B49,B45,B41)</f>
        <v>45300</v>
      </c>
      <c r="C50" s="18">
        <f t="shared" ref="C50:D50" si="22">SUM(C49,C45,C41)</f>
        <v>75700</v>
      </c>
      <c r="D50" s="18">
        <f t="shared" si="22"/>
        <v>93471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60">
        <f t="shared" si="20"/>
        <v>1</v>
      </c>
      <c r="P50" s="160">
        <f t="shared" si="20"/>
        <v>1</v>
      </c>
      <c r="Q50" s="160">
        <f t="shared" si="20"/>
        <v>1</v>
      </c>
    </row>
    <row r="51" spans="1:17" ht="15" thickTop="1">
      <c r="A51" s="47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7">
      <c r="A52" s="47" t="s">
        <v>642</v>
      </c>
      <c r="B52" s="18">
        <f>B38-B50</f>
        <v>0</v>
      </c>
      <c r="C52" s="18">
        <f t="shared" ref="C52:D52" si="23">C38-C50</f>
        <v>0</v>
      </c>
      <c r="D52" s="18">
        <f t="shared" si="23"/>
        <v>0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</row>
    <row r="53" spans="1:17" hidden="1">
      <c r="A53" s="4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</row>
    <row r="54" spans="1:17" hidden="1">
      <c r="A54" s="4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7" ht="15" hidden="1" customHeight="1">
      <c r="A55" s="10" t="s">
        <v>105</v>
      </c>
    </row>
    <row r="56" spans="1:17" ht="15" hidden="1" customHeight="1">
      <c r="A56" s="10"/>
    </row>
    <row r="57" spans="1:17" ht="15" hidden="1" customHeight="1">
      <c r="A57" s="10"/>
    </row>
    <row r="59" spans="1:17" ht="20.149999999999999" customHeight="1">
      <c r="A59" s="24" t="s">
        <v>106</v>
      </c>
      <c r="B59" s="24"/>
    </row>
    <row r="60" spans="1:17" s="24" customFormat="1" ht="20.149999999999999" customHeight="1">
      <c r="A60" s="24" t="s">
        <v>107</v>
      </c>
    </row>
    <row r="61" spans="1:17" s="24" customFormat="1" ht="20.149999999999999" customHeight="1">
      <c r="A61" s="24" t="s">
        <v>108</v>
      </c>
    </row>
    <row r="62" spans="1:17" s="24" customFormat="1" ht="20.149999999999999" customHeight="1">
      <c r="A62" s="24" t="s">
        <v>109</v>
      </c>
    </row>
    <row r="63" spans="1:17" s="24" customFormat="1" ht="15" customHeight="1">
      <c r="A63" s="24" t="s">
        <v>110</v>
      </c>
    </row>
    <row r="64" spans="1:17" s="10" customFormat="1" ht="15" customHeight="1">
      <c r="C64"/>
      <c r="D64"/>
      <c r="E64"/>
      <c r="F64"/>
      <c r="G64"/>
      <c r="H64"/>
      <c r="I64"/>
      <c r="J64"/>
      <c r="K64"/>
      <c r="L64"/>
      <c r="M64"/>
      <c r="N64"/>
    </row>
    <row r="65" spans="1:14" s="10" customFormat="1" ht="15" customHeight="1">
      <c r="C65"/>
      <c r="D65"/>
      <c r="E65"/>
      <c r="F65"/>
      <c r="G65"/>
      <c r="H65"/>
      <c r="I65"/>
      <c r="J65"/>
      <c r="K65"/>
      <c r="L65"/>
      <c r="M65"/>
      <c r="N65"/>
    </row>
    <row r="66" spans="1:14" ht="15" customHeight="1">
      <c r="A66" s="24" t="s">
        <v>111</v>
      </c>
      <c r="B66" s="24"/>
    </row>
    <row r="67" spans="1:14">
      <c r="A67" s="21" t="s">
        <v>112</v>
      </c>
    </row>
    <row r="68" spans="1:14">
      <c r="A68" s="10" t="s">
        <v>113</v>
      </c>
    </row>
    <row r="69" spans="1:14">
      <c r="A69" s="10" t="s">
        <v>114</v>
      </c>
    </row>
    <row r="70" spans="1:14">
      <c r="A70" s="1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55360-5980-41FF-9728-CA7D94876A0A}">
  <dimension ref="A1:T205"/>
  <sheetViews>
    <sheetView topLeftCell="A16" zoomScaleNormal="100" workbookViewId="0">
      <selection activeCell="F8" sqref="F8"/>
    </sheetView>
  </sheetViews>
  <sheetFormatPr defaultRowHeight="15.5"/>
  <cols>
    <col min="1" max="1" width="35" style="34" customWidth="1"/>
    <col min="2" max="2" width="12.90625" style="34" bestFit="1" customWidth="1"/>
    <col min="3" max="3" width="15.1796875" style="34" bestFit="1" customWidth="1"/>
    <col min="4" max="4" width="11.54296875" style="34" bestFit="1" customWidth="1"/>
    <col min="5" max="5" width="15.453125" style="34" bestFit="1" customWidth="1"/>
    <col min="6" max="6" width="12.08984375" style="34" bestFit="1" customWidth="1"/>
    <col min="7" max="7" width="12.08984375" style="34" customWidth="1"/>
    <col min="8" max="8" width="12.08984375" style="34" bestFit="1" customWidth="1"/>
    <col min="9" max="9" width="12.54296875" style="34" bestFit="1" customWidth="1"/>
    <col min="10" max="10" width="12.6328125" style="34" bestFit="1" customWidth="1"/>
    <col min="11" max="11" width="21.26953125" style="34" hidden="1" customWidth="1"/>
    <col min="12" max="13" width="0" style="34" hidden="1" customWidth="1"/>
    <col min="14" max="14" width="9.453125" style="34" hidden="1" customWidth="1"/>
    <col min="15" max="15" width="21.26953125" style="34" hidden="1" customWidth="1"/>
    <col min="16" max="16" width="10.6328125" style="34" hidden="1" customWidth="1"/>
    <col min="17" max="17" width="8.54296875" style="34" hidden="1" customWidth="1"/>
    <col min="18" max="18" width="10.6328125" style="34" hidden="1" customWidth="1"/>
    <col min="19" max="20" width="9.453125" style="34" hidden="1" customWidth="1"/>
    <col min="21" max="28" width="0" style="34" hidden="1" customWidth="1"/>
    <col min="29" max="16384" width="8.7265625" style="34"/>
  </cols>
  <sheetData>
    <row r="1" spans="1:20">
      <c r="R1" s="34" t="s">
        <v>681</v>
      </c>
      <c r="S1" s="195">
        <v>1</v>
      </c>
    </row>
    <row r="2" spans="1:20">
      <c r="A2" s="180" t="s">
        <v>83</v>
      </c>
      <c r="B2" s="180"/>
      <c r="R2" s="34" t="s">
        <v>692</v>
      </c>
      <c r="S2" s="194">
        <v>0.43330000000000002</v>
      </c>
    </row>
    <row r="3" spans="1:20">
      <c r="A3" s="181" t="s">
        <v>115</v>
      </c>
      <c r="R3" s="34" t="s">
        <v>693</v>
      </c>
      <c r="S3" s="194">
        <v>0.56669999999999998</v>
      </c>
    </row>
    <row r="4" spans="1:20">
      <c r="A4" s="180" t="s">
        <v>116</v>
      </c>
      <c r="B4" s="33"/>
    </row>
    <row r="5" spans="1:20">
      <c r="A5" s="182" t="s">
        <v>117</v>
      </c>
      <c r="B5" s="182"/>
      <c r="C5" s="182"/>
      <c r="D5" s="182"/>
      <c r="E5" s="182"/>
      <c r="F5" s="192" t="s">
        <v>701</v>
      </c>
      <c r="G5" s="207">
        <v>3</v>
      </c>
      <c r="O5" s="192" t="s">
        <v>690</v>
      </c>
    </row>
    <row r="6" spans="1:20" s="182" customFormat="1">
      <c r="A6" s="182" t="s">
        <v>118</v>
      </c>
      <c r="O6" s="180" t="s">
        <v>682</v>
      </c>
      <c r="P6" s="182">
        <v>2023</v>
      </c>
      <c r="Q6" s="182">
        <v>2024</v>
      </c>
      <c r="R6" s="182">
        <v>2025</v>
      </c>
      <c r="S6" s="182">
        <v>2026</v>
      </c>
      <c r="T6" s="182">
        <v>2027</v>
      </c>
    </row>
    <row r="7" spans="1:20" s="182" customFormat="1">
      <c r="A7" s="180" t="s">
        <v>119</v>
      </c>
      <c r="N7" s="182">
        <v>1</v>
      </c>
      <c r="O7" s="182" t="s">
        <v>683</v>
      </c>
      <c r="P7" s="193">
        <f>(1+20%)*P8</f>
        <v>0.25157340107559134</v>
      </c>
      <c r="Q7" s="193">
        <f t="shared" ref="Q7:T7" si="0">(1+20%)*Q8</f>
        <v>0.22757340107559137</v>
      </c>
      <c r="R7" s="193">
        <f t="shared" si="0"/>
        <v>0.20357340107559138</v>
      </c>
      <c r="S7" s="193">
        <f t="shared" si="0"/>
        <v>0.18</v>
      </c>
      <c r="T7" s="193">
        <f t="shared" si="0"/>
        <v>0.18</v>
      </c>
    </row>
    <row r="8" spans="1:20" s="182" customFormat="1" ht="25">
      <c r="F8" s="209" t="str">
        <f>IF(G5=N7,O7,IF(G5=N8,O8,IF(G5=N9,O9," ")))</f>
        <v>Pessimistic case</v>
      </c>
      <c r="N8" s="182">
        <v>2</v>
      </c>
      <c r="O8" s="182" t="s">
        <v>684</v>
      </c>
      <c r="P8" s="193">
        <f>E28</f>
        <v>0.20964450089632614</v>
      </c>
      <c r="Q8" s="193">
        <f>MAX(P8-2%,15%)</f>
        <v>0.18964450089632615</v>
      </c>
      <c r="R8" s="193">
        <f t="shared" ref="R8:T8" si="1">MAX(Q8-2%,15%)</f>
        <v>0.16964450089632616</v>
      </c>
      <c r="S8" s="193">
        <f t="shared" si="1"/>
        <v>0.15</v>
      </c>
      <c r="T8" s="193">
        <f t="shared" si="1"/>
        <v>0.15</v>
      </c>
    </row>
    <row r="9" spans="1:20">
      <c r="A9" s="180" t="s">
        <v>120</v>
      </c>
      <c r="B9" s="23">
        <v>2019</v>
      </c>
      <c r="C9" s="23">
        <v>2020</v>
      </c>
      <c r="D9" s="23">
        <v>2021</v>
      </c>
      <c r="E9" s="23">
        <v>2022</v>
      </c>
      <c r="F9" s="23">
        <v>2023</v>
      </c>
      <c r="G9" s="23">
        <v>2024</v>
      </c>
      <c r="H9" s="23">
        <v>2025</v>
      </c>
      <c r="I9" s="23">
        <v>2026</v>
      </c>
      <c r="J9" s="23">
        <v>2027</v>
      </c>
      <c r="M9" s="182"/>
      <c r="N9" s="182">
        <v>3</v>
      </c>
      <c r="O9" s="34" t="s">
        <v>685</v>
      </c>
      <c r="P9" s="193">
        <f>(1-10%)*P8</f>
        <v>0.18868005080669353</v>
      </c>
      <c r="Q9" s="193">
        <f t="shared" ref="Q9:T9" si="2">(1-10%)*Q8</f>
        <v>0.17068005080669355</v>
      </c>
      <c r="R9" s="193">
        <f t="shared" si="2"/>
        <v>0.15268005080669356</v>
      </c>
      <c r="S9" s="193">
        <f t="shared" si="2"/>
        <v>0.13500000000000001</v>
      </c>
      <c r="T9" s="193">
        <f t="shared" si="2"/>
        <v>0.13500000000000001</v>
      </c>
    </row>
    <row r="10" spans="1:20">
      <c r="A10" s="180"/>
      <c r="B10" s="23" t="s">
        <v>121</v>
      </c>
      <c r="C10" s="23" t="s">
        <v>121</v>
      </c>
      <c r="D10" s="23" t="s">
        <v>121</v>
      </c>
      <c r="E10" s="23" t="s">
        <v>121</v>
      </c>
      <c r="F10" s="23" t="s">
        <v>121</v>
      </c>
      <c r="G10" s="23" t="s">
        <v>121</v>
      </c>
      <c r="H10" s="23" t="s">
        <v>121</v>
      </c>
      <c r="I10" s="23" t="s">
        <v>121</v>
      </c>
      <c r="J10" s="23" t="s">
        <v>121</v>
      </c>
      <c r="M10" s="182"/>
      <c r="N10" s="182"/>
    </row>
    <row r="11" spans="1:20">
      <c r="A11" s="182" t="s">
        <v>89</v>
      </c>
      <c r="B11" s="204">
        <v>54000</v>
      </c>
      <c r="C11" s="204">
        <v>64800</v>
      </c>
      <c r="D11" s="204">
        <v>81000</v>
      </c>
      <c r="E11" s="204">
        <v>95580</v>
      </c>
      <c r="F11" s="202">
        <f>(1+P$14)*E$11</f>
        <v>113614.03925610376</v>
      </c>
      <c r="G11" s="202">
        <f t="shared" ref="G11:J11" si="3">(1+Q$14)*F$11</f>
        <v>133005.68924868922</v>
      </c>
      <c r="H11" s="202">
        <f t="shared" si="3"/>
        <v>153313.00464075839</v>
      </c>
      <c r="I11" s="202">
        <f t="shared" si="3"/>
        <v>174010.26026726078</v>
      </c>
      <c r="J11" s="202">
        <f t="shared" si="3"/>
        <v>197501.64540334098</v>
      </c>
      <c r="M11" s="182"/>
      <c r="N11" s="182"/>
    </row>
    <row r="12" spans="1:20">
      <c r="A12" s="184" t="s">
        <v>21</v>
      </c>
      <c r="B12" s="203">
        <v>-32400</v>
      </c>
      <c r="C12" s="203">
        <v>-32400</v>
      </c>
      <c r="D12" s="203">
        <v>-32400</v>
      </c>
      <c r="E12" s="203">
        <v>-38232</v>
      </c>
      <c r="F12" s="203">
        <f>P16*-F11</f>
        <v>-49232.750344311615</v>
      </c>
      <c r="G12" s="203">
        <f t="shared" ref="G12:J12" si="4">Q16*-G11</f>
        <v>-60295.912459405765</v>
      </c>
      <c r="H12" s="203">
        <f t="shared" si="4"/>
        <v>-72568.155529958967</v>
      </c>
      <c r="I12" s="203">
        <f t="shared" si="4"/>
        <v>-85845.061731848647</v>
      </c>
      <c r="J12" s="203">
        <f t="shared" si="4"/>
        <v>-98750.822701670491</v>
      </c>
      <c r="M12" s="182"/>
      <c r="N12" s="182"/>
    </row>
    <row r="13" spans="1:20">
      <c r="A13" s="185" t="s">
        <v>22</v>
      </c>
      <c r="B13" s="205">
        <f>SUM(B11:B12)</f>
        <v>21600</v>
      </c>
      <c r="C13" s="205">
        <f t="shared" ref="C13:D13" si="5">SUM(C11:C12)</f>
        <v>32400</v>
      </c>
      <c r="D13" s="205">
        <f t="shared" si="5"/>
        <v>48600</v>
      </c>
      <c r="E13" s="205">
        <f>SUM(E11:E12)</f>
        <v>57348</v>
      </c>
      <c r="F13" s="25">
        <f t="shared" ref="F13:J13" si="6">SUM(F11:F12)</f>
        <v>64381.288911792144</v>
      </c>
      <c r="G13" s="25">
        <f t="shared" si="6"/>
        <v>72709.776789283453</v>
      </c>
      <c r="H13" s="25">
        <f t="shared" si="6"/>
        <v>80744.84911079942</v>
      </c>
      <c r="I13" s="25">
        <f t="shared" si="6"/>
        <v>88165.198535412128</v>
      </c>
      <c r="J13" s="25">
        <f t="shared" si="6"/>
        <v>98750.822701670491</v>
      </c>
      <c r="M13" s="182"/>
      <c r="N13" s="182"/>
      <c r="P13" s="182">
        <v>2023</v>
      </c>
      <c r="Q13" s="182">
        <v>2024</v>
      </c>
      <c r="R13" s="182">
        <v>2025</v>
      </c>
      <c r="S13" s="182">
        <v>2026</v>
      </c>
      <c r="T13" s="182">
        <v>2027</v>
      </c>
    </row>
    <row r="14" spans="1:20">
      <c r="A14" s="184" t="s">
        <v>23</v>
      </c>
      <c r="B14" s="203">
        <v>-10800</v>
      </c>
      <c r="C14" s="203">
        <v>-10125</v>
      </c>
      <c r="D14" s="203">
        <v>-21094</v>
      </c>
      <c r="E14" s="203">
        <v>-14934</v>
      </c>
      <c r="F14" s="203">
        <f>P18*-F11</f>
        <v>-21697.093854246239</v>
      </c>
      <c r="G14" s="203">
        <f t="shared" ref="G14:J14" si="7">Q18*-G11</f>
        <v>-25400.354935646585</v>
      </c>
      <c r="H14" s="203">
        <f t="shared" si="7"/>
        <v>-29278.482417729152</v>
      </c>
      <c r="I14" s="203">
        <f t="shared" si="7"/>
        <v>-33231.077544122592</v>
      </c>
      <c r="J14" s="203">
        <f t="shared" si="7"/>
        <v>-37717.273012579142</v>
      </c>
      <c r="K14" s="183"/>
      <c r="L14" s="183"/>
      <c r="M14" s="182"/>
      <c r="N14" s="182"/>
      <c r="O14" s="34" t="s">
        <v>691</v>
      </c>
      <c r="P14" s="187">
        <f>CHOOSE($G$5,P7,P8,P9)</f>
        <v>0.18868005080669353</v>
      </c>
      <c r="Q14" s="187">
        <f>CHOOSE($G$5,Q7,Q8,Q9)</f>
        <v>0.17068005080669355</v>
      </c>
      <c r="R14" s="187">
        <f>CHOOSE($G$5,R7,R8,R9)</f>
        <v>0.15268005080669356</v>
      </c>
      <c r="S14" s="187">
        <f>CHOOSE($G$5,S7,S8,S9)</f>
        <v>0.13500000000000001</v>
      </c>
      <c r="T14" s="187">
        <f>CHOOSE($G$5,T7,T8,T9)</f>
        <v>0.13500000000000001</v>
      </c>
    </row>
    <row r="15" spans="1:20">
      <c r="A15" s="185" t="s">
        <v>90</v>
      </c>
      <c r="B15" s="204">
        <f>SUM(B13:B14)</f>
        <v>10800</v>
      </c>
      <c r="C15" s="204">
        <f t="shared" ref="C15:J15" si="8">SUM(C13:C14)</f>
        <v>22275</v>
      </c>
      <c r="D15" s="204">
        <f t="shared" si="8"/>
        <v>27506</v>
      </c>
      <c r="E15" s="204">
        <f t="shared" si="8"/>
        <v>42414</v>
      </c>
      <c r="F15" s="25">
        <f t="shared" si="8"/>
        <v>42684.195057545905</v>
      </c>
      <c r="G15" s="25">
        <f t="shared" si="8"/>
        <v>47309.421853636872</v>
      </c>
      <c r="H15" s="25">
        <f t="shared" si="8"/>
        <v>51466.366693070268</v>
      </c>
      <c r="I15" s="25">
        <f t="shared" si="8"/>
        <v>54934.120991289536</v>
      </c>
      <c r="J15" s="25">
        <f t="shared" si="8"/>
        <v>61033.549689091349</v>
      </c>
      <c r="M15" s="182"/>
      <c r="N15" s="182"/>
      <c r="O15" s="34" t="s">
        <v>55</v>
      </c>
      <c r="P15" s="187">
        <f>AVERAGE(C13/C11,D13/D11,E13/E11)</f>
        <v>0.56666666666666676</v>
      </c>
      <c r="Q15" s="187">
        <f>MAX(P15-2%,50%)</f>
        <v>0.54666666666666675</v>
      </c>
      <c r="R15" s="187">
        <f>MAX(Q15-2%,50%)</f>
        <v>0.52666666666666673</v>
      </c>
      <c r="S15" s="187">
        <f>MAX(R15-2%,50%)</f>
        <v>0.50666666666666671</v>
      </c>
      <c r="T15" s="187">
        <f>MAX(S15-2%,50%)</f>
        <v>0.5</v>
      </c>
    </row>
    <row r="16" spans="1:20">
      <c r="A16" s="184" t="s">
        <v>91</v>
      </c>
      <c r="B16" s="203">
        <v>-600</v>
      </c>
      <c r="C16" s="203">
        <v>-800</v>
      </c>
      <c r="D16" s="203">
        <v>-750</v>
      </c>
      <c r="E16" s="203">
        <v>-900</v>
      </c>
      <c r="F16" s="203">
        <f>P19*-F11</f>
        <v>-1174.8121168806153</v>
      </c>
      <c r="G16" s="203">
        <f t="shared" ref="G16:J16" si="9">Q19*-G11</f>
        <v>-1375.329108678118</v>
      </c>
      <c r="H16" s="203">
        <f t="shared" si="9"/>
        <v>-1585.3144268670176</v>
      </c>
      <c r="I16" s="203">
        <f t="shared" si="9"/>
        <v>-1799.331874494065</v>
      </c>
      <c r="J16" s="203">
        <f t="shared" si="9"/>
        <v>-2042.2416775507638</v>
      </c>
      <c r="M16" s="197"/>
      <c r="N16" s="182"/>
      <c r="O16" s="34" t="s">
        <v>21</v>
      </c>
      <c r="P16" s="187">
        <f>100%-P15</f>
        <v>0.43333333333333324</v>
      </c>
      <c r="Q16" s="187">
        <f t="shared" ref="Q16:T16" si="10">100%-Q15</f>
        <v>0.45333333333333325</v>
      </c>
      <c r="R16" s="187">
        <f t="shared" si="10"/>
        <v>0.47333333333333327</v>
      </c>
      <c r="S16" s="187">
        <f t="shared" si="10"/>
        <v>0.49333333333333329</v>
      </c>
      <c r="T16" s="187">
        <f t="shared" si="10"/>
        <v>0.5</v>
      </c>
    </row>
    <row r="17" spans="1:20">
      <c r="A17" s="185" t="s">
        <v>92</v>
      </c>
      <c r="B17" s="204">
        <f>SUM(B15:B16)</f>
        <v>10200</v>
      </c>
      <c r="C17" s="204">
        <f t="shared" ref="C17:J17" si="11">SUM(C15:C16)</f>
        <v>21475</v>
      </c>
      <c r="D17" s="204">
        <f t="shared" si="11"/>
        <v>26756</v>
      </c>
      <c r="E17" s="204">
        <f t="shared" si="11"/>
        <v>41514</v>
      </c>
      <c r="F17" s="204">
        <f t="shared" si="11"/>
        <v>41509.382940665288</v>
      </c>
      <c r="G17" s="204">
        <f t="shared" si="11"/>
        <v>45934.092744958754</v>
      </c>
      <c r="H17" s="204">
        <f t="shared" si="11"/>
        <v>49881.052266203253</v>
      </c>
      <c r="I17" s="204">
        <f t="shared" si="11"/>
        <v>53134.789116795473</v>
      </c>
      <c r="J17" s="204">
        <f t="shared" si="11"/>
        <v>58991.308011540583</v>
      </c>
      <c r="K17" s="183"/>
      <c r="L17" s="183"/>
      <c r="M17" s="182"/>
      <c r="N17" s="182"/>
      <c r="O17" s="34" t="s">
        <v>20</v>
      </c>
      <c r="P17" s="187">
        <f>P15+P16</f>
        <v>1</v>
      </c>
      <c r="Q17" s="187">
        <f t="shared" ref="Q17:T17" si="12">Q15+Q16</f>
        <v>1</v>
      </c>
      <c r="R17" s="187">
        <f t="shared" si="12"/>
        <v>1</v>
      </c>
      <c r="S17" s="187">
        <f t="shared" si="12"/>
        <v>1</v>
      </c>
      <c r="T17" s="187">
        <f t="shared" si="12"/>
        <v>1</v>
      </c>
    </row>
    <row r="18" spans="1:20">
      <c r="A18" s="184" t="s">
        <v>93</v>
      </c>
      <c r="B18" s="203">
        <v>-5000</v>
      </c>
      <c r="C18" s="203">
        <v>-7000</v>
      </c>
      <c r="D18" s="203">
        <v>-9000</v>
      </c>
      <c r="E18" s="203">
        <v>-8000</v>
      </c>
      <c r="F18" s="203">
        <f>(1+P20)*E18</f>
        <v>-7111.1111111111104</v>
      </c>
      <c r="G18" s="203">
        <f t="shared" ref="G18:J18" si="13">(1+Q20)*F18</f>
        <v>-6320.9876543209866</v>
      </c>
      <c r="H18" s="203">
        <f t="shared" si="13"/>
        <v>-5618.6556927297652</v>
      </c>
      <c r="I18" s="203">
        <f t="shared" si="13"/>
        <v>-4994.3606157597906</v>
      </c>
      <c r="J18" s="203">
        <f t="shared" si="13"/>
        <v>-4439.4316584531471</v>
      </c>
      <c r="M18" s="182"/>
      <c r="N18" s="182"/>
      <c r="O18" s="34" t="s">
        <v>694</v>
      </c>
      <c r="P18" s="187">
        <f>AVERAGE(-$C$14/$C$11,-$D$14/$D$11,-$E$14/$E$11)</f>
        <v>0.19097194322382646</v>
      </c>
      <c r="Q18" s="187">
        <f t="shared" ref="Q18:T18" si="14">AVERAGE(-$C$14/$C$11,-$D$14/$D$11,-$E$14/$E$11)</f>
        <v>0.19097194322382646</v>
      </c>
      <c r="R18" s="187">
        <f t="shared" si="14"/>
        <v>0.19097194322382646</v>
      </c>
      <c r="S18" s="187">
        <f t="shared" si="14"/>
        <v>0.19097194322382646</v>
      </c>
      <c r="T18" s="187">
        <f t="shared" si="14"/>
        <v>0.19097194322382646</v>
      </c>
    </row>
    <row r="19" spans="1:20">
      <c r="A19" s="185" t="s">
        <v>26</v>
      </c>
      <c r="B19" s="204">
        <f>SUM(B17:B18)</f>
        <v>5200</v>
      </c>
      <c r="C19" s="204">
        <f t="shared" ref="C19:J19" si="15">SUM(C17:C18)</f>
        <v>14475</v>
      </c>
      <c r="D19" s="204">
        <f t="shared" si="15"/>
        <v>17756</v>
      </c>
      <c r="E19" s="204">
        <f t="shared" si="15"/>
        <v>33514</v>
      </c>
      <c r="F19" s="204">
        <f t="shared" si="15"/>
        <v>34398.271829554178</v>
      </c>
      <c r="G19" s="204">
        <f t="shared" si="15"/>
        <v>39613.105090637764</v>
      </c>
      <c r="H19" s="204">
        <f t="shared" si="15"/>
        <v>44262.396573473488</v>
      </c>
      <c r="I19" s="204">
        <f t="shared" si="15"/>
        <v>48140.428501035683</v>
      </c>
      <c r="J19" s="204">
        <f t="shared" si="15"/>
        <v>54551.876353087435</v>
      </c>
      <c r="M19" s="182"/>
      <c r="N19" s="182"/>
      <c r="O19" s="34" t="s">
        <v>696</v>
      </c>
      <c r="P19" s="187">
        <f>AVERAGE(-C16/C11,-D16/D11,-E16/E11)</f>
        <v>1.0340378042826254E-2</v>
      </c>
      <c r="Q19" s="187">
        <f>$P$19</f>
        <v>1.0340378042826254E-2</v>
      </c>
      <c r="R19" s="187">
        <f t="shared" ref="R19:T19" si="16">$P$19</f>
        <v>1.0340378042826254E-2</v>
      </c>
      <c r="S19" s="187">
        <f t="shared" si="16"/>
        <v>1.0340378042826254E-2</v>
      </c>
      <c r="T19" s="187">
        <f t="shared" si="16"/>
        <v>1.0340378042826254E-2</v>
      </c>
    </row>
    <row r="20" spans="1:20">
      <c r="A20" s="184" t="s">
        <v>27</v>
      </c>
      <c r="B20" s="203">
        <v>-1560</v>
      </c>
      <c r="C20" s="203">
        <v>-4343</v>
      </c>
      <c r="D20" s="203">
        <v>-5327</v>
      </c>
      <c r="E20" s="203">
        <v>-10054</v>
      </c>
      <c r="F20" s="203">
        <f>30%*-F19</f>
        <v>-10319.481548866253</v>
      </c>
      <c r="G20" s="203">
        <f t="shared" ref="G20:I20" si="17">30%*-G19</f>
        <v>-11883.931527191329</v>
      </c>
      <c r="H20" s="203">
        <f t="shared" si="17"/>
        <v>-13278.718972042047</v>
      </c>
      <c r="I20" s="203">
        <f t="shared" si="17"/>
        <v>-14442.128550310705</v>
      </c>
      <c r="J20" s="203">
        <f>30%*-J19</f>
        <v>-16365.56290592623</v>
      </c>
      <c r="O20" s="199" t="s">
        <v>25</v>
      </c>
      <c r="P20" s="200">
        <f>-$E$18/-$D$18-1</f>
        <v>-0.11111111111111116</v>
      </c>
      <c r="Q20" s="200">
        <f t="shared" ref="Q20:T20" si="18">-$E$18/-$D$18-1</f>
        <v>-0.11111111111111116</v>
      </c>
      <c r="R20" s="200">
        <f t="shared" si="18"/>
        <v>-0.11111111111111116</v>
      </c>
      <c r="S20" s="200">
        <f t="shared" si="18"/>
        <v>-0.11111111111111116</v>
      </c>
      <c r="T20" s="200">
        <f t="shared" si="18"/>
        <v>-0.11111111111111116</v>
      </c>
    </row>
    <row r="21" spans="1:20">
      <c r="A21" s="185" t="s">
        <v>122</v>
      </c>
      <c r="B21" s="204">
        <f>SUM(B19:B20)</f>
        <v>3640</v>
      </c>
      <c r="C21" s="204">
        <f t="shared" ref="C21:D21" si="19">SUM(C19:C20)</f>
        <v>10132</v>
      </c>
      <c r="D21" s="204">
        <f t="shared" si="19"/>
        <v>12429</v>
      </c>
      <c r="E21" s="204">
        <f>SUM(E19:E20)</f>
        <v>23460</v>
      </c>
      <c r="F21" s="204">
        <f t="shared" ref="F21:H21" si="20">SUM(F19:F20)</f>
        <v>24078.790280687925</v>
      </c>
      <c r="G21" s="204">
        <f t="shared" si="20"/>
        <v>27729.173563446435</v>
      </c>
      <c r="H21" s="204">
        <f t="shared" si="20"/>
        <v>30983.677601431442</v>
      </c>
      <c r="I21" s="204">
        <f t="shared" ref="I21" si="21">SUM(I19:I20)</f>
        <v>33698.299950724977</v>
      </c>
      <c r="J21" s="204">
        <f t="shared" ref="J21" si="22">SUM(J19:J20)</f>
        <v>38186.313447161207</v>
      </c>
      <c r="O21" s="199" t="s">
        <v>697</v>
      </c>
      <c r="P21" s="201">
        <f>AVERAGE($B$29:$E$29)</f>
        <v>0.30000995961429489</v>
      </c>
      <c r="Q21" s="201">
        <f t="shared" ref="Q21:T21" si="23">AVERAGE($B$29:$E$29)</f>
        <v>0.30000995961429489</v>
      </c>
      <c r="R21" s="201">
        <f t="shared" si="23"/>
        <v>0.30000995961429489</v>
      </c>
      <c r="S21" s="201">
        <f t="shared" si="23"/>
        <v>0.30000995961429489</v>
      </c>
      <c r="T21" s="201">
        <f t="shared" si="23"/>
        <v>0.30000995961429489</v>
      </c>
    </row>
    <row r="22" spans="1:20">
      <c r="A22" s="185" t="s">
        <v>254</v>
      </c>
      <c r="B22" s="203">
        <v>0</v>
      </c>
      <c r="C22" s="203">
        <f>B23</f>
        <v>3640</v>
      </c>
      <c r="D22" s="203">
        <f t="shared" ref="D22:E22" si="24">C23</f>
        <v>13772</v>
      </c>
      <c r="E22" s="203">
        <f t="shared" si="24"/>
        <v>26201</v>
      </c>
      <c r="F22" s="203">
        <f>E23</f>
        <v>49661</v>
      </c>
      <c r="G22" s="203">
        <f t="shared" ref="G22:J22" si="25">F23</f>
        <v>73739.790280687928</v>
      </c>
      <c r="H22" s="203">
        <f t="shared" si="25"/>
        <v>101468.96384413436</v>
      </c>
      <c r="I22" s="203">
        <f t="shared" si="25"/>
        <v>132452.64144556579</v>
      </c>
      <c r="J22" s="203">
        <f t="shared" si="25"/>
        <v>166150.94139629079</v>
      </c>
    </row>
    <row r="23" spans="1:20">
      <c r="A23" s="185" t="s">
        <v>255</v>
      </c>
      <c r="B23" s="204">
        <f>SUM(B21:B22)</f>
        <v>3640</v>
      </c>
      <c r="C23" s="204">
        <f>SUM(C21:C22)</f>
        <v>13772</v>
      </c>
      <c r="D23" s="204">
        <f t="shared" ref="D23:E23" si="26">SUM(D21:D22)</f>
        <v>26201</v>
      </c>
      <c r="E23" s="204">
        <f t="shared" si="26"/>
        <v>49661</v>
      </c>
      <c r="F23" s="204">
        <f>SUM(F21:F22)</f>
        <v>73739.790280687928</v>
      </c>
      <c r="G23" s="204">
        <f t="shared" ref="G23:J23" si="27">SUM(G21:G22)</f>
        <v>101468.96384413436</v>
      </c>
      <c r="H23" s="204">
        <f t="shared" si="27"/>
        <v>132452.64144556579</v>
      </c>
      <c r="I23" s="204">
        <f t="shared" si="27"/>
        <v>166150.94139629079</v>
      </c>
      <c r="J23" s="204">
        <f t="shared" si="27"/>
        <v>204337.25484345198</v>
      </c>
    </row>
    <row r="24" spans="1:20">
      <c r="A24" s="185"/>
      <c r="B24" s="26"/>
      <c r="C24" s="26"/>
      <c r="D24" s="26"/>
      <c r="E24" s="26"/>
    </row>
    <row r="25" spans="1:20">
      <c r="A25" s="185"/>
      <c r="B25" s="26"/>
      <c r="C25" s="26"/>
      <c r="D25" s="26"/>
      <c r="E25" s="26"/>
    </row>
    <row r="26" spans="1:20">
      <c r="A26" s="185" t="s">
        <v>367</v>
      </c>
      <c r="B26" s="26"/>
      <c r="C26" s="177">
        <f>C11/B11-1</f>
        <v>0.19999999999999996</v>
      </c>
      <c r="D26" s="177">
        <f t="shared" ref="D26:E26" si="28">D11/C11-1</f>
        <v>0.25</v>
      </c>
      <c r="E26" s="177">
        <f t="shared" si="28"/>
        <v>0.17999999999999994</v>
      </c>
      <c r="N26" s="206">
        <f>(100%+O31)</f>
        <v>0.88890000000000002</v>
      </c>
      <c r="O26" s="34">
        <v>8000</v>
      </c>
      <c r="Q26" s="34">
        <f>11.11%*O26</f>
        <v>888.8</v>
      </c>
    </row>
    <row r="27" spans="1:20">
      <c r="A27" s="185"/>
      <c r="B27" s="26"/>
      <c r="C27" s="26"/>
      <c r="D27" s="26"/>
      <c r="E27" s="26"/>
    </row>
    <row r="28" spans="1:20">
      <c r="A28" s="185" t="s">
        <v>368</v>
      </c>
      <c r="B28" s="26"/>
      <c r="C28" s="26"/>
      <c r="D28" s="26"/>
      <c r="E28" s="178">
        <f>POWER(E11/B11,1/3)-1</f>
        <v>0.20964450089632614</v>
      </c>
      <c r="P28" s="34">
        <f>O26-Q26</f>
        <v>7111.2</v>
      </c>
    </row>
    <row r="29" spans="1:20">
      <c r="A29" s="185" t="s">
        <v>369</v>
      </c>
      <c r="B29" s="186">
        <f>-B20/B19</f>
        <v>0.3</v>
      </c>
      <c r="C29" s="186">
        <f t="shared" ref="C29:E29" si="29">-C20/C19</f>
        <v>0.30003454231433507</v>
      </c>
      <c r="D29" s="186">
        <f t="shared" si="29"/>
        <v>0.30001126379815274</v>
      </c>
      <c r="E29" s="186">
        <f t="shared" si="29"/>
        <v>0.2999940323446918</v>
      </c>
      <c r="H29" s="198"/>
    </row>
    <row r="30" spans="1:20">
      <c r="A30" s="185" t="s">
        <v>55</v>
      </c>
      <c r="B30" s="187">
        <f>B13/B11</f>
        <v>0.4</v>
      </c>
      <c r="C30" s="187">
        <f t="shared" ref="C30:E30" si="30">C13/C11</f>
        <v>0.5</v>
      </c>
      <c r="D30" s="187">
        <f t="shared" si="30"/>
        <v>0.6</v>
      </c>
      <c r="E30" s="187">
        <f t="shared" si="30"/>
        <v>0.6</v>
      </c>
    </row>
    <row r="31" spans="1:20">
      <c r="B31" s="187"/>
      <c r="C31" s="187"/>
      <c r="D31" s="187"/>
      <c r="E31" s="187"/>
      <c r="O31" s="34">
        <f>P28/O26-1</f>
        <v>-0.11109999999999998</v>
      </c>
    </row>
    <row r="32" spans="1:20">
      <c r="A32" s="185" t="s">
        <v>23</v>
      </c>
      <c r="B32" s="196">
        <f>-B14</f>
        <v>10800</v>
      </c>
      <c r="C32" s="196">
        <f t="shared" ref="C32:E32" si="31">-C14</f>
        <v>10125</v>
      </c>
      <c r="D32" s="196">
        <f t="shared" si="31"/>
        <v>21094</v>
      </c>
      <c r="E32" s="196">
        <f t="shared" si="31"/>
        <v>14934</v>
      </c>
    </row>
    <row r="33" spans="1:7">
      <c r="A33" s="185" t="s">
        <v>695</v>
      </c>
      <c r="B33" s="196">
        <f>B11</f>
        <v>54000</v>
      </c>
      <c r="C33" s="196">
        <f t="shared" ref="C33:E33" si="32">C11</f>
        <v>64800</v>
      </c>
      <c r="D33" s="196">
        <f t="shared" si="32"/>
        <v>81000</v>
      </c>
      <c r="E33" s="196">
        <f t="shared" si="32"/>
        <v>95580</v>
      </c>
    </row>
    <row r="34" spans="1:7">
      <c r="A34" s="185"/>
      <c r="B34" s="196"/>
      <c r="C34" s="196"/>
      <c r="D34" s="196"/>
      <c r="E34" s="196"/>
    </row>
    <row r="35" spans="1:7">
      <c r="A35" s="185"/>
      <c r="B35" s="187">
        <f>B32/B33</f>
        <v>0.2</v>
      </c>
      <c r="C35" s="187">
        <f t="shared" ref="C35:E35" si="33">C32/C33</f>
        <v>0.15625</v>
      </c>
      <c r="D35" s="187">
        <f t="shared" si="33"/>
        <v>0.26041975308641974</v>
      </c>
      <c r="E35" s="187">
        <f t="shared" si="33"/>
        <v>0.15624607658505962</v>
      </c>
      <c r="G35" s="194"/>
    </row>
    <row r="36" spans="1:7">
      <c r="A36" s="185"/>
      <c r="D36" s="177"/>
      <c r="E36" s="179"/>
    </row>
    <row r="37" spans="1:7">
      <c r="A37" s="184" t="s">
        <v>686</v>
      </c>
      <c r="B37" s="184"/>
      <c r="C37" s="184"/>
      <c r="D37" s="184"/>
    </row>
    <row r="38" spans="1:7">
      <c r="C38" s="184"/>
      <c r="D38" s="184"/>
    </row>
    <row r="39" spans="1:7">
      <c r="A39" s="188" t="s">
        <v>123</v>
      </c>
      <c r="B39" s="116"/>
      <c r="C39" s="184"/>
      <c r="D39" s="184"/>
    </row>
    <row r="40" spans="1:7">
      <c r="A40" s="116"/>
      <c r="B40" s="116"/>
      <c r="C40" s="184"/>
      <c r="D40" s="184"/>
    </row>
    <row r="41" spans="1:7">
      <c r="A41" s="38" t="s">
        <v>124</v>
      </c>
      <c r="B41" s="116"/>
      <c r="C41" s="184"/>
      <c r="D41" s="184"/>
    </row>
    <row r="42" spans="1:7">
      <c r="A42" s="188"/>
      <c r="B42" s="188"/>
      <c r="C42" s="184"/>
      <c r="D42" s="184"/>
    </row>
    <row r="43" spans="1:7">
      <c r="A43" s="184" t="s">
        <v>687</v>
      </c>
      <c r="B43" s="184"/>
      <c r="C43" s="184"/>
      <c r="D43" s="184"/>
      <c r="E43" s="184"/>
    </row>
    <row r="44" spans="1:7">
      <c r="A44" s="189"/>
    </row>
    <row r="45" spans="1:7">
      <c r="A45" s="184" t="s">
        <v>688</v>
      </c>
      <c r="B45" s="184"/>
      <c r="C45" s="184"/>
      <c r="D45" s="184"/>
    </row>
    <row r="46" spans="1:7">
      <c r="A46" s="184" t="s">
        <v>689</v>
      </c>
      <c r="B46" s="184"/>
      <c r="C46" s="184"/>
      <c r="D46" s="184"/>
      <c r="E46" s="184"/>
    </row>
    <row r="47" spans="1:7">
      <c r="A47" s="33" t="s">
        <v>125</v>
      </c>
      <c r="B47" s="190"/>
      <c r="C47" s="190"/>
      <c r="D47" s="190"/>
      <c r="E47" s="190"/>
    </row>
    <row r="48" spans="1:7">
      <c r="A48" s="188" t="s">
        <v>126</v>
      </c>
      <c r="B48" s="190"/>
      <c r="C48" s="190"/>
      <c r="D48" s="190"/>
      <c r="E48" s="190"/>
    </row>
    <row r="49" spans="1:10">
      <c r="A49" s="188" t="s">
        <v>127</v>
      </c>
      <c r="B49" s="190"/>
      <c r="C49" s="190"/>
      <c r="D49" s="190"/>
      <c r="E49" s="190"/>
    </row>
    <row r="50" spans="1:10">
      <c r="A50" s="188" t="s">
        <v>128</v>
      </c>
      <c r="B50" s="190"/>
      <c r="C50" s="190"/>
      <c r="D50" s="190"/>
      <c r="E50" s="190"/>
    </row>
    <row r="51" spans="1:10">
      <c r="A51" s="188" t="s">
        <v>129</v>
      </c>
      <c r="B51" s="190"/>
      <c r="C51" s="190"/>
      <c r="D51" s="190"/>
      <c r="E51" s="190"/>
    </row>
    <row r="52" spans="1:10">
      <c r="A52" s="188" t="s">
        <v>130</v>
      </c>
      <c r="B52" s="190"/>
      <c r="C52" s="190"/>
      <c r="D52" s="190"/>
      <c r="E52" s="190"/>
    </row>
    <row r="53" spans="1:10">
      <c r="A53" s="184" t="s">
        <v>131</v>
      </c>
      <c r="B53" s="184"/>
    </row>
    <row r="54" spans="1:10">
      <c r="A54" s="33" t="s">
        <v>132</v>
      </c>
    </row>
    <row r="55" spans="1:10">
      <c r="A55" s="33" t="s">
        <v>133</v>
      </c>
    </row>
    <row r="56" spans="1:10">
      <c r="A56" s="188" t="s">
        <v>134</v>
      </c>
    </row>
    <row r="57" spans="1:10">
      <c r="A57" s="33" t="s">
        <v>135</v>
      </c>
    </row>
    <row r="59" spans="1:10">
      <c r="A59" s="191" t="s">
        <v>47</v>
      </c>
    </row>
    <row r="60" spans="1:10">
      <c r="A60" s="33" t="s">
        <v>136</v>
      </c>
    </row>
    <row r="64" spans="1:10">
      <c r="A64" s="208"/>
      <c r="B64" s="208"/>
      <c r="C64" s="208"/>
      <c r="D64" s="208"/>
      <c r="E64" s="208"/>
      <c r="F64" s="208" t="s">
        <v>698</v>
      </c>
      <c r="G64" s="208"/>
      <c r="H64" s="208"/>
      <c r="I64" s="208"/>
      <c r="J64" s="208"/>
    </row>
    <row r="65" spans="1:10">
      <c r="A65" s="208" t="s">
        <v>120</v>
      </c>
      <c r="B65" s="208">
        <v>2019</v>
      </c>
      <c r="C65" s="208">
        <v>2020</v>
      </c>
      <c r="D65" s="208">
        <v>2021</v>
      </c>
      <c r="E65" s="208">
        <v>2022</v>
      </c>
      <c r="F65" s="208">
        <v>2023</v>
      </c>
      <c r="G65" s="208">
        <v>2024</v>
      </c>
      <c r="H65" s="208">
        <v>2025</v>
      </c>
      <c r="I65" s="208">
        <v>2026</v>
      </c>
      <c r="J65" s="208">
        <v>2027</v>
      </c>
    </row>
    <row r="66" spans="1:10">
      <c r="A66" s="208"/>
      <c r="B66" s="208" t="s">
        <v>121</v>
      </c>
      <c r="C66" s="208" t="s">
        <v>121</v>
      </c>
      <c r="D66" s="208" t="s">
        <v>121</v>
      </c>
      <c r="E66" s="208" t="s">
        <v>121</v>
      </c>
      <c r="F66" s="208" t="s">
        <v>121</v>
      </c>
      <c r="G66" s="208" t="s">
        <v>121</v>
      </c>
      <c r="H66" s="208" t="s">
        <v>121</v>
      </c>
      <c r="I66" s="208" t="s">
        <v>121</v>
      </c>
      <c r="J66" s="208" t="s">
        <v>121</v>
      </c>
    </row>
    <row r="67" spans="1:10">
      <c r="A67" s="208" t="s">
        <v>89</v>
      </c>
      <c r="B67" s="208">
        <v>54000</v>
      </c>
      <c r="C67" s="208">
        <v>64800</v>
      </c>
      <c r="D67" s="208">
        <v>81000</v>
      </c>
      <c r="E67" s="208">
        <v>95580</v>
      </c>
      <c r="F67" s="208">
        <v>115617.82139567085</v>
      </c>
      <c r="G67" s="208">
        <v>137544.10542897342</v>
      </c>
      <c r="H67" s="208">
        <v>160877.70654570326</v>
      </c>
      <c r="I67" s="208">
        <v>185009.36252755873</v>
      </c>
      <c r="J67" s="208">
        <v>212760.76690669253</v>
      </c>
    </row>
    <row r="68" spans="1:10">
      <c r="A68" s="208" t="s">
        <v>21</v>
      </c>
      <c r="B68" s="208">
        <v>-32400</v>
      </c>
      <c r="C68" s="208">
        <v>-32400</v>
      </c>
      <c r="D68" s="208">
        <v>-32400</v>
      </c>
      <c r="E68" s="208">
        <v>-38232</v>
      </c>
      <c r="F68" s="208">
        <v>-50101.055938124024</v>
      </c>
      <c r="G68" s="208">
        <v>-62353.327794467936</v>
      </c>
      <c r="H68" s="208">
        <v>-76148.781098299529</v>
      </c>
      <c r="I68" s="208">
        <v>-91271.285513595634</v>
      </c>
      <c r="J68" s="208">
        <v>-106380.38345334627</v>
      </c>
    </row>
    <row r="69" spans="1:10">
      <c r="A69" s="208" t="s">
        <v>22</v>
      </c>
      <c r="B69" s="208">
        <v>21600</v>
      </c>
      <c r="C69" s="208">
        <v>32400</v>
      </c>
      <c r="D69" s="208">
        <v>48600</v>
      </c>
      <c r="E69" s="208">
        <v>57348</v>
      </c>
      <c r="F69" s="208">
        <v>65516.765457546826</v>
      </c>
      <c r="G69" s="208">
        <v>75190.777634505474</v>
      </c>
      <c r="H69" s="208">
        <v>84728.92544740373</v>
      </c>
      <c r="I69" s="208">
        <v>93738.077013963091</v>
      </c>
      <c r="J69" s="208">
        <v>106380.38345334627</v>
      </c>
    </row>
    <row r="70" spans="1:10">
      <c r="A70" s="208" t="s">
        <v>23</v>
      </c>
      <c r="B70" s="208">
        <v>-10800</v>
      </c>
      <c r="C70" s="208">
        <v>-10125</v>
      </c>
      <c r="D70" s="208">
        <v>-21094</v>
      </c>
      <c r="E70" s="208">
        <v>-14934</v>
      </c>
      <c r="F70" s="208">
        <v>-22079.760023236562</v>
      </c>
      <c r="G70" s="208">
        <v>-26267.065092753914</v>
      </c>
      <c r="H70" s="208">
        <v>-30723.128240425456</v>
      </c>
      <c r="I70" s="208">
        <v>-35331.597476489274</v>
      </c>
      <c r="J70" s="208">
        <v>-40631.337097962663</v>
      </c>
    </row>
    <row r="71" spans="1:10">
      <c r="A71" s="208" t="s">
        <v>90</v>
      </c>
      <c r="B71" s="208">
        <v>10800</v>
      </c>
      <c r="C71" s="208">
        <v>22275</v>
      </c>
      <c r="D71" s="208">
        <v>27506</v>
      </c>
      <c r="E71" s="208">
        <v>42414</v>
      </c>
      <c r="F71" s="208">
        <v>43437.005434310267</v>
      </c>
      <c r="G71" s="208">
        <v>48923.712541751564</v>
      </c>
      <c r="H71" s="208">
        <v>54005.79720697827</v>
      </c>
      <c r="I71" s="208">
        <v>58406.479537473817</v>
      </c>
      <c r="J71" s="208">
        <v>65749.046355383602</v>
      </c>
    </row>
    <row r="72" spans="1:10">
      <c r="A72" s="208" t="s">
        <v>91</v>
      </c>
      <c r="B72" s="208">
        <v>-600</v>
      </c>
      <c r="C72" s="208">
        <v>-800</v>
      </c>
      <c r="D72" s="208">
        <v>-750</v>
      </c>
      <c r="E72" s="208">
        <v>-900</v>
      </c>
      <c r="F72" s="208">
        <v>-1195.5319817192023</v>
      </c>
      <c r="G72" s="208">
        <v>-1422.258047697936</v>
      </c>
      <c r="H72" s="208">
        <v>-1663.5363043454354</v>
      </c>
      <c r="I72" s="208">
        <v>-1913.0667499972506</v>
      </c>
      <c r="J72" s="208">
        <v>-2200.0267624968383</v>
      </c>
    </row>
    <row r="73" spans="1:10">
      <c r="A73" s="208" t="s">
        <v>92</v>
      </c>
      <c r="B73" s="208">
        <v>10200</v>
      </c>
      <c r="C73" s="208">
        <v>21475</v>
      </c>
      <c r="D73" s="208">
        <v>26756</v>
      </c>
      <c r="E73" s="208">
        <v>41514</v>
      </c>
      <c r="F73" s="208">
        <v>42241.473452591068</v>
      </c>
      <c r="G73" s="208">
        <v>47501.454494053629</v>
      </c>
      <c r="H73" s="208">
        <v>52342.260902632835</v>
      </c>
      <c r="I73" s="208">
        <v>56493.412787476569</v>
      </c>
      <c r="J73" s="208">
        <v>63549.019592886762</v>
      </c>
    </row>
    <row r="74" spans="1:10">
      <c r="A74" s="208" t="s">
        <v>93</v>
      </c>
      <c r="B74" s="208">
        <v>-5000</v>
      </c>
      <c r="C74" s="208">
        <v>-7000</v>
      </c>
      <c r="D74" s="208">
        <v>-9000</v>
      </c>
      <c r="E74" s="208">
        <v>-8000</v>
      </c>
      <c r="F74" s="208">
        <v>-7111.1111111111104</v>
      </c>
      <c r="G74" s="208">
        <v>-6320.9876543209866</v>
      </c>
      <c r="H74" s="208">
        <v>-5618.6556927297652</v>
      </c>
      <c r="I74" s="208">
        <v>-4994.3606157597906</v>
      </c>
      <c r="J74" s="208">
        <v>-4439.4316584531471</v>
      </c>
    </row>
    <row r="75" spans="1:10">
      <c r="A75" s="208" t="s">
        <v>26</v>
      </c>
      <c r="B75" s="208">
        <v>5200</v>
      </c>
      <c r="C75" s="208">
        <v>14475</v>
      </c>
      <c r="D75" s="208">
        <v>17756</v>
      </c>
      <c r="E75" s="208">
        <v>33514</v>
      </c>
      <c r="F75" s="208">
        <v>35130.362341479959</v>
      </c>
      <c r="G75" s="208">
        <v>41180.466839732646</v>
      </c>
      <c r="H75" s="208">
        <v>46723.605209903071</v>
      </c>
      <c r="I75" s="208">
        <v>51499.052171716779</v>
      </c>
      <c r="J75" s="208">
        <v>59109.587934433614</v>
      </c>
    </row>
    <row r="76" spans="1:10">
      <c r="A76" s="208" t="s">
        <v>27</v>
      </c>
      <c r="B76" s="208">
        <v>-1560</v>
      </c>
      <c r="C76" s="208">
        <v>-4343</v>
      </c>
      <c r="D76" s="208">
        <v>-5327</v>
      </c>
      <c r="E76" s="208">
        <v>-10054</v>
      </c>
      <c r="F76" s="208">
        <v>-10539.108702443988</v>
      </c>
      <c r="G76" s="208">
        <v>-12354.140051919794</v>
      </c>
      <c r="H76" s="208">
        <v>-14017.081562970921</v>
      </c>
      <c r="I76" s="208">
        <v>-15449.715651515033</v>
      </c>
      <c r="J76" s="208">
        <v>-17732.876380330083</v>
      </c>
    </row>
    <row r="77" spans="1:10">
      <c r="A77" s="208" t="s">
        <v>122</v>
      </c>
      <c r="B77" s="208">
        <v>3640</v>
      </c>
      <c r="C77" s="208">
        <v>10132</v>
      </c>
      <c r="D77" s="208">
        <v>12429</v>
      </c>
      <c r="E77" s="208">
        <v>23460</v>
      </c>
      <c r="F77" s="208">
        <v>24591.253639035971</v>
      </c>
      <c r="G77" s="208">
        <v>28826.326787812854</v>
      </c>
      <c r="H77" s="208">
        <v>32706.52364693215</v>
      </c>
      <c r="I77" s="208">
        <v>36049.336520201745</v>
      </c>
      <c r="J77" s="208">
        <v>41376.711554103531</v>
      </c>
    </row>
    <row r="78" spans="1:10">
      <c r="A78" s="208" t="s">
        <v>254</v>
      </c>
      <c r="B78" s="208">
        <v>0</v>
      </c>
      <c r="C78" s="208">
        <v>3640</v>
      </c>
      <c r="D78" s="208">
        <v>13772</v>
      </c>
      <c r="E78" s="208">
        <v>26201</v>
      </c>
      <c r="F78" s="208">
        <v>49661</v>
      </c>
      <c r="G78" s="208">
        <v>74252.253639035975</v>
      </c>
      <c r="H78" s="208">
        <v>103078.58042684883</v>
      </c>
      <c r="I78" s="208">
        <v>135785.10407378097</v>
      </c>
      <c r="J78" s="208">
        <v>171834.4405939827</v>
      </c>
    </row>
    <row r="79" spans="1:10">
      <c r="A79" s="208" t="s">
        <v>255</v>
      </c>
      <c r="B79" s="208">
        <v>3640</v>
      </c>
      <c r="C79" s="208">
        <v>13772</v>
      </c>
      <c r="D79" s="208">
        <v>26201</v>
      </c>
      <c r="E79" s="208">
        <v>49661</v>
      </c>
      <c r="F79" s="208">
        <v>74252.253639035975</v>
      </c>
      <c r="G79" s="208">
        <v>103078.58042684883</v>
      </c>
      <c r="H79" s="208">
        <v>135785.10407378097</v>
      </c>
      <c r="I79" s="208">
        <v>171834.4405939827</v>
      </c>
      <c r="J79" s="208">
        <v>213211.15214808623</v>
      </c>
    </row>
    <row r="83" spans="1:10">
      <c r="A83" s="208"/>
      <c r="B83" s="208"/>
      <c r="C83" s="208"/>
      <c r="D83" s="208"/>
      <c r="E83" s="208"/>
      <c r="F83" s="208" t="s">
        <v>699</v>
      </c>
      <c r="G83" s="208"/>
      <c r="H83" s="208"/>
      <c r="I83" s="208"/>
      <c r="J83" s="208"/>
    </row>
    <row r="84" spans="1:10">
      <c r="A84" s="208" t="s">
        <v>120</v>
      </c>
      <c r="B84" s="208">
        <v>2019</v>
      </c>
      <c r="C84" s="208">
        <v>2020</v>
      </c>
      <c r="D84" s="208">
        <v>2021</v>
      </c>
      <c r="E84" s="208">
        <v>2022</v>
      </c>
      <c r="F84" s="208">
        <v>2023</v>
      </c>
      <c r="G84" s="208">
        <v>2024</v>
      </c>
      <c r="H84" s="208">
        <v>2025</v>
      </c>
      <c r="I84" s="208">
        <v>2026</v>
      </c>
      <c r="J84" s="208">
        <v>2027</v>
      </c>
    </row>
    <row r="85" spans="1:10">
      <c r="A85" s="208"/>
      <c r="B85" s="208" t="s">
        <v>121</v>
      </c>
      <c r="C85" s="208" t="s">
        <v>121</v>
      </c>
      <c r="D85" s="208" t="s">
        <v>121</v>
      </c>
      <c r="E85" s="208" t="s">
        <v>121</v>
      </c>
      <c r="F85" s="208" t="s">
        <v>121</v>
      </c>
      <c r="G85" s="208" t="s">
        <v>121</v>
      </c>
      <c r="H85" s="208" t="s">
        <v>121</v>
      </c>
      <c r="I85" s="208" t="s">
        <v>121</v>
      </c>
      <c r="J85" s="208" t="s">
        <v>121</v>
      </c>
    </row>
    <row r="86" spans="1:10">
      <c r="A86" s="208" t="s">
        <v>89</v>
      </c>
      <c r="B86" s="208">
        <v>54000</v>
      </c>
      <c r="C86" s="208">
        <v>64800</v>
      </c>
      <c r="D86" s="208">
        <v>81000</v>
      </c>
      <c r="E86" s="208">
        <v>95580</v>
      </c>
      <c r="F86" s="208">
        <v>119625.38567480503</v>
      </c>
      <c r="G86" s="208">
        <v>146848.94154779974</v>
      </c>
      <c r="H86" s="208">
        <v>176743.48002303604</v>
      </c>
      <c r="I86" s="208">
        <v>208557.30642718251</v>
      </c>
      <c r="J86" s="208">
        <v>246097.62158407536</v>
      </c>
    </row>
    <row r="87" spans="1:10">
      <c r="A87" s="208" t="s">
        <v>21</v>
      </c>
      <c r="B87" s="208">
        <v>-32400</v>
      </c>
      <c r="C87" s="208">
        <v>-32400</v>
      </c>
      <c r="D87" s="208">
        <v>-32400</v>
      </c>
      <c r="E87" s="208">
        <v>-38232</v>
      </c>
      <c r="F87" s="208">
        <v>-51837.667125748834</v>
      </c>
      <c r="G87" s="208">
        <v>-66571.520168335875</v>
      </c>
      <c r="H87" s="208">
        <v>-83658.580544237047</v>
      </c>
      <c r="I87" s="208">
        <v>-102888.27117074336</v>
      </c>
      <c r="J87" s="208">
        <v>-123048.81079203768</v>
      </c>
    </row>
    <row r="88" spans="1:10">
      <c r="A88" s="208" t="s">
        <v>22</v>
      </c>
      <c r="B88" s="208">
        <v>21600</v>
      </c>
      <c r="C88" s="208">
        <v>32400</v>
      </c>
      <c r="D88" s="208">
        <v>48600</v>
      </c>
      <c r="E88" s="208">
        <v>57348</v>
      </c>
      <c r="F88" s="208">
        <v>67787.718549056197</v>
      </c>
      <c r="G88" s="208">
        <v>80277.421379463864</v>
      </c>
      <c r="H88" s="208">
        <v>93084.899478798994</v>
      </c>
      <c r="I88" s="208">
        <v>105669.03525643915</v>
      </c>
      <c r="J88" s="208">
        <v>123048.81079203768</v>
      </c>
    </row>
    <row r="89" spans="1:10">
      <c r="A89" s="208" t="s">
        <v>23</v>
      </c>
      <c r="B89" s="208">
        <v>-10800</v>
      </c>
      <c r="C89" s="208">
        <v>-10125</v>
      </c>
      <c r="D89" s="208">
        <v>-21094</v>
      </c>
      <c r="E89" s="208">
        <v>-14934</v>
      </c>
      <c r="F89" s="208">
        <v>-22845.092361217208</v>
      </c>
      <c r="G89" s="208">
        <v>-28044.027727745422</v>
      </c>
      <c r="H89" s="208">
        <v>-33753.045832140742</v>
      </c>
      <c r="I89" s="208">
        <v>-39828.59408192608</v>
      </c>
      <c r="J89" s="208">
        <v>-46997.741016672771</v>
      </c>
    </row>
    <row r="90" spans="1:10">
      <c r="A90" s="208" t="s">
        <v>90</v>
      </c>
      <c r="B90" s="208">
        <v>10800</v>
      </c>
      <c r="C90" s="208">
        <v>22275</v>
      </c>
      <c r="D90" s="208">
        <v>27506</v>
      </c>
      <c r="E90" s="208">
        <v>42414</v>
      </c>
      <c r="F90" s="208">
        <v>44942.626187838992</v>
      </c>
      <c r="G90" s="208">
        <v>52233.393651718441</v>
      </c>
      <c r="H90" s="208">
        <v>59331.853646658252</v>
      </c>
      <c r="I90" s="208">
        <v>65840.441174513078</v>
      </c>
      <c r="J90" s="208">
        <v>76051.069775364915</v>
      </c>
    </row>
    <row r="91" spans="1:10">
      <c r="A91" s="208" t="s">
        <v>91</v>
      </c>
      <c r="B91" s="208">
        <v>-600</v>
      </c>
      <c r="C91" s="208">
        <v>-800</v>
      </c>
      <c r="D91" s="208">
        <v>-750</v>
      </c>
      <c r="E91" s="208">
        <v>-900</v>
      </c>
      <c r="F91" s="208">
        <v>-1236.9717113963761</v>
      </c>
      <c r="G91" s="208">
        <v>-1518.4735707931443</v>
      </c>
      <c r="H91" s="208">
        <v>-1827.5944000429024</v>
      </c>
      <c r="I91" s="208">
        <v>-2156.5613920506248</v>
      </c>
      <c r="J91" s="208">
        <v>-2544.7424426197372</v>
      </c>
    </row>
    <row r="92" spans="1:10">
      <c r="A92" s="208" t="s">
        <v>92</v>
      </c>
      <c r="B92" s="208">
        <v>10200</v>
      </c>
      <c r="C92" s="208">
        <v>21475</v>
      </c>
      <c r="D92" s="208">
        <v>26756</v>
      </c>
      <c r="E92" s="208">
        <v>41514</v>
      </c>
      <c r="F92" s="208">
        <v>43705.654476442614</v>
      </c>
      <c r="G92" s="208">
        <v>50714.920080925294</v>
      </c>
      <c r="H92" s="208">
        <v>57504.259246615351</v>
      </c>
      <c r="I92" s="208">
        <v>63683.879782462456</v>
      </c>
      <c r="J92" s="208">
        <v>73506.327332745175</v>
      </c>
    </row>
    <row r="93" spans="1:10">
      <c r="A93" s="208" t="s">
        <v>93</v>
      </c>
      <c r="B93" s="208">
        <v>-5000</v>
      </c>
      <c r="C93" s="208">
        <v>-7000</v>
      </c>
      <c r="D93" s="208">
        <v>-9000</v>
      </c>
      <c r="E93" s="208">
        <v>-8000</v>
      </c>
      <c r="F93" s="208">
        <v>-7111.1111111111104</v>
      </c>
      <c r="G93" s="208">
        <v>-6320.9876543209866</v>
      </c>
      <c r="H93" s="208">
        <v>-5618.6556927297652</v>
      </c>
      <c r="I93" s="208">
        <v>-4994.3606157597906</v>
      </c>
      <c r="J93" s="208">
        <v>-4439.4316584531471</v>
      </c>
    </row>
    <row r="94" spans="1:10">
      <c r="A94" s="208" t="s">
        <v>26</v>
      </c>
      <c r="B94" s="208">
        <v>5200</v>
      </c>
      <c r="C94" s="208">
        <v>14475</v>
      </c>
      <c r="D94" s="208">
        <v>17756</v>
      </c>
      <c r="E94" s="208">
        <v>33514</v>
      </c>
      <c r="F94" s="208">
        <v>36594.543365331505</v>
      </c>
      <c r="G94" s="208">
        <v>44393.932426604311</v>
      </c>
      <c r="H94" s="208">
        <v>51885.603553885587</v>
      </c>
      <c r="I94" s="208">
        <v>58689.519166702667</v>
      </c>
      <c r="J94" s="208">
        <v>69066.895674292027</v>
      </c>
    </row>
    <row r="95" spans="1:10">
      <c r="A95" s="208" t="s">
        <v>27</v>
      </c>
      <c r="B95" s="208">
        <v>-1560</v>
      </c>
      <c r="C95" s="208">
        <v>-4343</v>
      </c>
      <c r="D95" s="208">
        <v>-5327</v>
      </c>
      <c r="E95" s="208">
        <v>-10054</v>
      </c>
      <c r="F95" s="208">
        <v>-10978.36300959945</v>
      </c>
      <c r="G95" s="208">
        <v>-13318.179727981293</v>
      </c>
      <c r="H95" s="208">
        <v>-15565.681066165675</v>
      </c>
      <c r="I95" s="208">
        <v>-17606.8557500108</v>
      </c>
      <c r="J95" s="208">
        <v>-20720.068702287608</v>
      </c>
    </row>
    <row r="96" spans="1:10">
      <c r="A96" s="208" t="s">
        <v>122</v>
      </c>
      <c r="B96" s="208">
        <v>3640</v>
      </c>
      <c r="C96" s="208">
        <v>10132</v>
      </c>
      <c r="D96" s="208">
        <v>12429</v>
      </c>
      <c r="E96" s="208">
        <v>23460</v>
      </c>
      <c r="F96" s="208">
        <v>25616.180355732053</v>
      </c>
      <c r="G96" s="208">
        <v>31075.752698623019</v>
      </c>
      <c r="H96" s="208">
        <v>36319.922487719916</v>
      </c>
      <c r="I96" s="208">
        <v>41082.663416691867</v>
      </c>
      <c r="J96" s="208">
        <v>48346.826972004419</v>
      </c>
    </row>
    <row r="97" spans="1:10">
      <c r="A97" s="208" t="s">
        <v>254</v>
      </c>
      <c r="B97" s="208">
        <v>0</v>
      </c>
      <c r="C97" s="208">
        <v>3640</v>
      </c>
      <c r="D97" s="208">
        <v>13772</v>
      </c>
      <c r="E97" s="208">
        <v>26201</v>
      </c>
      <c r="F97" s="208">
        <v>49661</v>
      </c>
      <c r="G97" s="208">
        <v>75277.180355732053</v>
      </c>
      <c r="H97" s="208">
        <v>106352.93305435508</v>
      </c>
      <c r="I97" s="208">
        <v>142672.85554207501</v>
      </c>
      <c r="J97" s="208">
        <v>183755.51895876689</v>
      </c>
    </row>
    <row r="98" spans="1:10">
      <c r="A98" s="208" t="s">
        <v>255</v>
      </c>
      <c r="B98" s="208">
        <v>3640</v>
      </c>
      <c r="C98" s="208">
        <v>13772</v>
      </c>
      <c r="D98" s="208">
        <v>26201</v>
      </c>
      <c r="E98" s="208">
        <v>49661</v>
      </c>
      <c r="F98" s="208">
        <v>75277.180355732053</v>
      </c>
      <c r="G98" s="208">
        <v>106352.93305435508</v>
      </c>
      <c r="H98" s="208">
        <v>142672.85554207501</v>
      </c>
      <c r="I98" s="208">
        <v>183755.51895876689</v>
      </c>
      <c r="J98" s="208">
        <v>232102.34593077132</v>
      </c>
    </row>
    <row r="101" spans="1:10">
      <c r="A101" s="208"/>
      <c r="B101" s="208"/>
      <c r="C101" s="208"/>
      <c r="D101" s="208"/>
      <c r="E101" s="208"/>
      <c r="F101" s="208" t="s">
        <v>700</v>
      </c>
      <c r="G101" s="208"/>
      <c r="H101" s="208"/>
      <c r="I101" s="208"/>
      <c r="J101" s="208"/>
    </row>
    <row r="102" spans="1:10">
      <c r="A102" s="208" t="s">
        <v>120</v>
      </c>
      <c r="B102" s="208">
        <v>2019</v>
      </c>
      <c r="C102" s="208">
        <v>2020</v>
      </c>
      <c r="D102" s="208">
        <v>2021</v>
      </c>
      <c r="E102" s="208">
        <v>2022</v>
      </c>
      <c r="F102" s="208">
        <v>2023</v>
      </c>
      <c r="G102" s="208">
        <v>2024</v>
      </c>
      <c r="H102" s="208">
        <v>2025</v>
      </c>
      <c r="I102" s="208">
        <v>2026</v>
      </c>
      <c r="J102" s="208">
        <v>2027</v>
      </c>
    </row>
    <row r="103" spans="1:10">
      <c r="A103" s="208"/>
      <c r="B103" s="208" t="s">
        <v>121</v>
      </c>
      <c r="C103" s="208" t="s">
        <v>121</v>
      </c>
      <c r="D103" s="208" t="s">
        <v>121</v>
      </c>
      <c r="E103" s="208" t="s">
        <v>121</v>
      </c>
      <c r="F103" s="208" t="s">
        <v>121</v>
      </c>
      <c r="G103" s="208" t="s">
        <v>121</v>
      </c>
      <c r="H103" s="208" t="s">
        <v>121</v>
      </c>
      <c r="I103" s="208" t="s">
        <v>121</v>
      </c>
      <c r="J103" s="208" t="s">
        <v>121</v>
      </c>
    </row>
    <row r="104" spans="1:10">
      <c r="A104" s="208" t="s">
        <v>89</v>
      </c>
      <c r="B104" s="208">
        <v>54000</v>
      </c>
      <c r="C104" s="208">
        <v>64800</v>
      </c>
      <c r="D104" s="208">
        <v>81000</v>
      </c>
      <c r="E104" s="208">
        <v>95580</v>
      </c>
      <c r="F104" s="208">
        <v>113614.03925610376</v>
      </c>
      <c r="G104" s="208">
        <v>133005.68924868922</v>
      </c>
      <c r="H104" s="208">
        <v>153313.00464075839</v>
      </c>
      <c r="I104" s="208">
        <v>174010.26026726078</v>
      </c>
      <c r="J104" s="208">
        <v>197501.64540334098</v>
      </c>
    </row>
    <row r="105" spans="1:10">
      <c r="A105" s="208" t="s">
        <v>21</v>
      </c>
      <c r="B105" s="208">
        <v>-32400</v>
      </c>
      <c r="C105" s="208">
        <v>-32400</v>
      </c>
      <c r="D105" s="208">
        <v>-32400</v>
      </c>
      <c r="E105" s="208">
        <v>-38232</v>
      </c>
      <c r="F105" s="208">
        <v>-49232.750344311615</v>
      </c>
      <c r="G105" s="208">
        <v>-60295.912459405765</v>
      </c>
      <c r="H105" s="208">
        <v>-72568.155529958967</v>
      </c>
      <c r="I105" s="208">
        <v>-85845.061731848647</v>
      </c>
      <c r="J105" s="208">
        <v>-98750.822701670491</v>
      </c>
    </row>
    <row r="106" spans="1:10">
      <c r="A106" s="208" t="s">
        <v>22</v>
      </c>
      <c r="B106" s="208">
        <v>21600</v>
      </c>
      <c r="C106" s="208">
        <v>32400</v>
      </c>
      <c r="D106" s="208">
        <v>48600</v>
      </c>
      <c r="E106" s="208">
        <v>57348</v>
      </c>
      <c r="F106" s="208">
        <v>64381.288911792144</v>
      </c>
      <c r="G106" s="208">
        <v>72709.776789283453</v>
      </c>
      <c r="H106" s="208">
        <v>80744.84911079942</v>
      </c>
      <c r="I106" s="208">
        <v>88165.198535412128</v>
      </c>
      <c r="J106" s="208">
        <v>98750.822701670491</v>
      </c>
    </row>
    <row r="107" spans="1:10">
      <c r="A107" s="208" t="s">
        <v>23</v>
      </c>
      <c r="B107" s="208">
        <v>-10800</v>
      </c>
      <c r="C107" s="208">
        <v>-10125</v>
      </c>
      <c r="D107" s="208">
        <v>-21094</v>
      </c>
      <c r="E107" s="208">
        <v>-14934</v>
      </c>
      <c r="F107" s="208">
        <v>-21697.093854246239</v>
      </c>
      <c r="G107" s="208">
        <v>-25400.354935646585</v>
      </c>
      <c r="H107" s="208">
        <v>-29278.482417729152</v>
      </c>
      <c r="I107" s="208">
        <v>-33231.077544122592</v>
      </c>
      <c r="J107" s="208">
        <v>-37717.273012579142</v>
      </c>
    </row>
    <row r="108" spans="1:10">
      <c r="A108" s="208" t="s">
        <v>90</v>
      </c>
      <c r="B108" s="208">
        <v>10800</v>
      </c>
      <c r="C108" s="208">
        <v>22275</v>
      </c>
      <c r="D108" s="208">
        <v>27506</v>
      </c>
      <c r="E108" s="208">
        <v>42414</v>
      </c>
      <c r="F108" s="208">
        <v>42684.195057545905</v>
      </c>
      <c r="G108" s="208">
        <v>47309.421853636872</v>
      </c>
      <c r="H108" s="208">
        <v>51466.366693070268</v>
      </c>
      <c r="I108" s="208">
        <v>54934.120991289536</v>
      </c>
      <c r="J108" s="208">
        <v>61033.549689091349</v>
      </c>
    </row>
    <row r="109" spans="1:10">
      <c r="A109" s="208" t="s">
        <v>91</v>
      </c>
      <c r="B109" s="208">
        <v>-600</v>
      </c>
      <c r="C109" s="208">
        <v>-800</v>
      </c>
      <c r="D109" s="208">
        <v>-750</v>
      </c>
      <c r="E109" s="208">
        <v>-900</v>
      </c>
      <c r="F109" s="208">
        <v>-1174.8121168806153</v>
      </c>
      <c r="G109" s="208">
        <v>-1375.329108678118</v>
      </c>
      <c r="H109" s="208">
        <v>-1585.3144268670176</v>
      </c>
      <c r="I109" s="208">
        <v>-1799.331874494065</v>
      </c>
      <c r="J109" s="208">
        <v>-2042.2416775507638</v>
      </c>
    </row>
    <row r="110" spans="1:10">
      <c r="A110" s="208" t="s">
        <v>92</v>
      </c>
      <c r="B110" s="208">
        <v>10200</v>
      </c>
      <c r="C110" s="208">
        <v>21475</v>
      </c>
      <c r="D110" s="208">
        <v>26756</v>
      </c>
      <c r="E110" s="208">
        <v>41514</v>
      </c>
      <c r="F110" s="208">
        <v>41509.382940665288</v>
      </c>
      <c r="G110" s="208">
        <v>45934.092744958754</v>
      </c>
      <c r="H110" s="208">
        <v>49881.052266203253</v>
      </c>
      <c r="I110" s="208">
        <v>53134.789116795473</v>
      </c>
      <c r="J110" s="208">
        <v>58991.308011540583</v>
      </c>
    </row>
    <row r="111" spans="1:10">
      <c r="A111" s="208" t="s">
        <v>93</v>
      </c>
      <c r="B111" s="208">
        <v>-5000</v>
      </c>
      <c r="C111" s="208">
        <v>-7000</v>
      </c>
      <c r="D111" s="208">
        <v>-9000</v>
      </c>
      <c r="E111" s="208">
        <v>-8000</v>
      </c>
      <c r="F111" s="208">
        <v>-7111.1111111111104</v>
      </c>
      <c r="G111" s="208">
        <v>-6320.9876543209866</v>
      </c>
      <c r="H111" s="208">
        <v>-5618.6556927297652</v>
      </c>
      <c r="I111" s="208">
        <v>-4994.3606157597906</v>
      </c>
      <c r="J111" s="208">
        <v>-4439.4316584531471</v>
      </c>
    </row>
    <row r="112" spans="1:10">
      <c r="A112" s="208" t="s">
        <v>26</v>
      </c>
      <c r="B112" s="208">
        <v>5200</v>
      </c>
      <c r="C112" s="208">
        <v>14475</v>
      </c>
      <c r="D112" s="208">
        <v>17756</v>
      </c>
      <c r="E112" s="208">
        <v>33514</v>
      </c>
      <c r="F112" s="208">
        <v>34398.271829554178</v>
      </c>
      <c r="G112" s="208">
        <v>39613.105090637764</v>
      </c>
      <c r="H112" s="208">
        <v>44262.396573473488</v>
      </c>
      <c r="I112" s="208">
        <v>48140.428501035683</v>
      </c>
      <c r="J112" s="208">
        <v>54551.876353087435</v>
      </c>
    </row>
    <row r="113" spans="1:10">
      <c r="A113" s="208" t="s">
        <v>27</v>
      </c>
      <c r="B113" s="208">
        <v>-1560</v>
      </c>
      <c r="C113" s="208">
        <v>-4343</v>
      </c>
      <c r="D113" s="208">
        <v>-5327</v>
      </c>
      <c r="E113" s="208">
        <v>-10054</v>
      </c>
      <c r="F113" s="208">
        <v>-10319.481548866253</v>
      </c>
      <c r="G113" s="208">
        <v>-11883.931527191329</v>
      </c>
      <c r="H113" s="208">
        <v>-13278.718972042047</v>
      </c>
      <c r="I113" s="208">
        <v>-14442.128550310705</v>
      </c>
      <c r="J113" s="208">
        <v>-16365.56290592623</v>
      </c>
    </row>
    <row r="114" spans="1:10">
      <c r="A114" s="208" t="s">
        <v>122</v>
      </c>
      <c r="B114" s="208">
        <v>3640</v>
      </c>
      <c r="C114" s="208">
        <v>10132</v>
      </c>
      <c r="D114" s="208">
        <v>12429</v>
      </c>
      <c r="E114" s="208">
        <v>23460</v>
      </c>
      <c r="F114" s="208">
        <v>24078.790280687925</v>
      </c>
      <c r="G114" s="208">
        <v>27729.173563446435</v>
      </c>
      <c r="H114" s="208">
        <v>30983.677601431442</v>
      </c>
      <c r="I114" s="208">
        <v>33698.299950724977</v>
      </c>
      <c r="J114" s="208">
        <v>38186.313447161207</v>
      </c>
    </row>
    <row r="115" spans="1:10">
      <c r="A115" s="208" t="s">
        <v>254</v>
      </c>
      <c r="B115" s="208">
        <v>0</v>
      </c>
      <c r="C115" s="208">
        <v>3640</v>
      </c>
      <c r="D115" s="208">
        <v>13772</v>
      </c>
      <c r="E115" s="208">
        <v>26201</v>
      </c>
      <c r="F115" s="208">
        <v>49661</v>
      </c>
      <c r="G115" s="208">
        <v>73739.790280687928</v>
      </c>
      <c r="H115" s="208">
        <v>101468.96384413436</v>
      </c>
      <c r="I115" s="208">
        <v>132452.64144556579</v>
      </c>
      <c r="J115" s="208">
        <v>166150.94139629079</v>
      </c>
    </row>
    <row r="116" spans="1:10">
      <c r="A116" s="208" t="s">
        <v>255</v>
      </c>
      <c r="B116" s="208">
        <v>3640</v>
      </c>
      <c r="C116" s="208">
        <v>13772</v>
      </c>
      <c r="D116" s="208">
        <v>26201</v>
      </c>
      <c r="E116" s="208">
        <v>49661</v>
      </c>
      <c r="F116" s="208">
        <v>73739.790280687928</v>
      </c>
      <c r="G116" s="208">
        <v>101468.96384413436</v>
      </c>
      <c r="H116" s="208">
        <v>132452.64144556579</v>
      </c>
      <c r="I116" s="208">
        <v>166150.94139629079</v>
      </c>
      <c r="J116" s="208">
        <v>204337.25484345198</v>
      </c>
    </row>
    <row r="119" spans="1:10">
      <c r="A119" s="208"/>
      <c r="B119" s="208"/>
      <c r="C119" s="208"/>
      <c r="D119" s="208"/>
      <c r="E119" s="208"/>
      <c r="F119" s="208" t="s">
        <v>683</v>
      </c>
      <c r="G119" s="208"/>
      <c r="H119" s="208"/>
      <c r="I119" s="208"/>
      <c r="J119" s="208"/>
    </row>
    <row r="120" spans="1:10">
      <c r="A120" s="208" t="s">
        <v>120</v>
      </c>
      <c r="B120" s="208">
        <v>2019</v>
      </c>
      <c r="C120" s="208">
        <v>2020</v>
      </c>
      <c r="D120" s="208">
        <v>2021</v>
      </c>
      <c r="E120" s="208">
        <v>2022</v>
      </c>
      <c r="F120" s="208">
        <v>2023</v>
      </c>
      <c r="G120" s="208">
        <v>2024</v>
      </c>
      <c r="H120" s="208">
        <v>2025</v>
      </c>
      <c r="I120" s="208">
        <v>2026</v>
      </c>
      <c r="J120" s="208">
        <v>2027</v>
      </c>
    </row>
    <row r="121" spans="1:10">
      <c r="A121" s="208"/>
      <c r="B121" s="208" t="s">
        <v>121</v>
      </c>
      <c r="C121" s="208" t="s">
        <v>121</v>
      </c>
      <c r="D121" s="208" t="s">
        <v>121</v>
      </c>
      <c r="E121" s="208" t="s">
        <v>121</v>
      </c>
      <c r="F121" s="208" t="s">
        <v>121</v>
      </c>
      <c r="G121" s="208" t="s">
        <v>121</v>
      </c>
      <c r="H121" s="208" t="s">
        <v>121</v>
      </c>
      <c r="I121" s="208" t="s">
        <v>121</v>
      </c>
      <c r="J121" s="208" t="s">
        <v>121</v>
      </c>
    </row>
    <row r="122" spans="1:10">
      <c r="A122" s="208" t="s">
        <v>89</v>
      </c>
      <c r="B122" s="208">
        <v>54000</v>
      </c>
      <c r="C122" s="208">
        <v>64800</v>
      </c>
      <c r="D122" s="208">
        <v>81000</v>
      </c>
      <c r="E122" s="208">
        <v>95580</v>
      </c>
      <c r="F122" s="208">
        <v>119625.38567480503</v>
      </c>
      <c r="G122" s="208">
        <v>146848.94154779974</v>
      </c>
      <c r="H122" s="208">
        <v>176743.48002303604</v>
      </c>
      <c r="I122" s="208">
        <v>208557.30642718251</v>
      </c>
      <c r="J122" s="208">
        <v>246097.62158407536</v>
      </c>
    </row>
    <row r="123" spans="1:10">
      <c r="A123" s="208" t="s">
        <v>21</v>
      </c>
      <c r="B123" s="208">
        <v>-32400</v>
      </c>
      <c r="C123" s="208">
        <v>-32400</v>
      </c>
      <c r="D123" s="208">
        <v>-32400</v>
      </c>
      <c r="E123" s="208">
        <v>-38232</v>
      </c>
      <c r="F123" s="208">
        <v>-51837.667125748834</v>
      </c>
      <c r="G123" s="208">
        <v>-66571.520168335875</v>
      </c>
      <c r="H123" s="208">
        <v>-83658.580544237047</v>
      </c>
      <c r="I123" s="208">
        <v>-102888.27117074336</v>
      </c>
      <c r="J123" s="208">
        <v>-123048.81079203768</v>
      </c>
    </row>
    <row r="124" spans="1:10">
      <c r="A124" s="208" t="s">
        <v>22</v>
      </c>
      <c r="B124" s="208">
        <v>21600</v>
      </c>
      <c r="C124" s="208">
        <v>32400</v>
      </c>
      <c r="D124" s="208">
        <v>48600</v>
      </c>
      <c r="E124" s="208">
        <v>57348</v>
      </c>
      <c r="F124" s="208">
        <v>67787.718549056197</v>
      </c>
      <c r="G124" s="208">
        <v>80277.421379463864</v>
      </c>
      <c r="H124" s="208">
        <v>93084.899478798994</v>
      </c>
      <c r="I124" s="208">
        <v>105669.03525643915</v>
      </c>
      <c r="J124" s="208">
        <v>123048.81079203768</v>
      </c>
    </row>
    <row r="125" spans="1:10">
      <c r="A125" s="208" t="s">
        <v>23</v>
      </c>
      <c r="B125" s="208">
        <v>-10800</v>
      </c>
      <c r="C125" s="208">
        <v>-10125</v>
      </c>
      <c r="D125" s="208">
        <v>-21094</v>
      </c>
      <c r="E125" s="208">
        <v>-14934</v>
      </c>
      <c r="F125" s="208">
        <v>-22845.092361217208</v>
      </c>
      <c r="G125" s="208">
        <v>-28044.027727745422</v>
      </c>
      <c r="H125" s="208">
        <v>-33753.045832140742</v>
      </c>
      <c r="I125" s="208">
        <v>-39828.59408192608</v>
      </c>
      <c r="J125" s="208">
        <v>-46997.741016672771</v>
      </c>
    </row>
    <row r="126" spans="1:10">
      <c r="A126" s="208" t="s">
        <v>90</v>
      </c>
      <c r="B126" s="208">
        <v>10800</v>
      </c>
      <c r="C126" s="208">
        <v>22275</v>
      </c>
      <c r="D126" s="208">
        <v>27506</v>
      </c>
      <c r="E126" s="208">
        <v>42414</v>
      </c>
      <c r="F126" s="208">
        <v>44942.626187838992</v>
      </c>
      <c r="G126" s="208">
        <v>52233.393651718441</v>
      </c>
      <c r="H126" s="208">
        <v>59331.853646658252</v>
      </c>
      <c r="I126" s="208">
        <v>65840.441174513078</v>
      </c>
      <c r="J126" s="208">
        <v>76051.069775364915</v>
      </c>
    </row>
    <row r="127" spans="1:10">
      <c r="A127" s="208" t="s">
        <v>91</v>
      </c>
      <c r="B127" s="208">
        <v>-600</v>
      </c>
      <c r="C127" s="208">
        <v>-800</v>
      </c>
      <c r="D127" s="208">
        <v>-750</v>
      </c>
      <c r="E127" s="208">
        <v>-900</v>
      </c>
      <c r="F127" s="208">
        <v>-1236.9717113963761</v>
      </c>
      <c r="G127" s="208">
        <v>-1518.4735707931443</v>
      </c>
      <c r="H127" s="208">
        <v>-1827.5944000429024</v>
      </c>
      <c r="I127" s="208">
        <v>-2156.5613920506248</v>
      </c>
      <c r="J127" s="208">
        <v>-2544.7424426197372</v>
      </c>
    </row>
    <row r="128" spans="1:10">
      <c r="A128" s="208" t="s">
        <v>92</v>
      </c>
      <c r="B128" s="208">
        <v>10200</v>
      </c>
      <c r="C128" s="208">
        <v>21475</v>
      </c>
      <c r="D128" s="208">
        <v>26756</v>
      </c>
      <c r="E128" s="208">
        <v>41514</v>
      </c>
      <c r="F128" s="208">
        <v>43705.654476442614</v>
      </c>
      <c r="G128" s="208">
        <v>50714.920080925294</v>
      </c>
      <c r="H128" s="208">
        <v>57504.259246615351</v>
      </c>
      <c r="I128" s="208">
        <v>63683.879782462456</v>
      </c>
      <c r="J128" s="208">
        <v>73506.327332745175</v>
      </c>
    </row>
    <row r="129" spans="1:10">
      <c r="A129" s="208" t="s">
        <v>93</v>
      </c>
      <c r="B129" s="208">
        <v>-5000</v>
      </c>
      <c r="C129" s="208">
        <v>-7000</v>
      </c>
      <c r="D129" s="208">
        <v>-9000</v>
      </c>
      <c r="E129" s="208">
        <v>-8000</v>
      </c>
      <c r="F129" s="208">
        <v>-7111.1111111111104</v>
      </c>
      <c r="G129" s="208">
        <v>-6320.9876543209866</v>
      </c>
      <c r="H129" s="208">
        <v>-5618.6556927297652</v>
      </c>
      <c r="I129" s="208">
        <v>-4994.3606157597906</v>
      </c>
      <c r="J129" s="208">
        <v>-4439.4316584531471</v>
      </c>
    </row>
    <row r="130" spans="1:10">
      <c r="A130" s="208" t="s">
        <v>26</v>
      </c>
      <c r="B130" s="208">
        <v>5200</v>
      </c>
      <c r="C130" s="208">
        <v>14475</v>
      </c>
      <c r="D130" s="208">
        <v>17756</v>
      </c>
      <c r="E130" s="208">
        <v>33514</v>
      </c>
      <c r="F130" s="208">
        <v>36594.543365331505</v>
      </c>
      <c r="G130" s="208">
        <v>44393.932426604311</v>
      </c>
      <c r="H130" s="208">
        <v>51885.603553885587</v>
      </c>
      <c r="I130" s="208">
        <v>58689.519166702667</v>
      </c>
      <c r="J130" s="208">
        <v>69066.895674292027</v>
      </c>
    </row>
    <row r="131" spans="1:10">
      <c r="A131" s="208" t="s">
        <v>27</v>
      </c>
      <c r="B131" s="208">
        <v>-1560</v>
      </c>
      <c r="C131" s="208">
        <v>-4343</v>
      </c>
      <c r="D131" s="208">
        <v>-5327</v>
      </c>
      <c r="E131" s="208">
        <v>-10054</v>
      </c>
      <c r="F131" s="208">
        <v>-10978.36300959945</v>
      </c>
      <c r="G131" s="208">
        <v>-13318.179727981293</v>
      </c>
      <c r="H131" s="208">
        <v>-15565.681066165675</v>
      </c>
      <c r="I131" s="208">
        <v>-17606.8557500108</v>
      </c>
      <c r="J131" s="208">
        <v>-20720.068702287608</v>
      </c>
    </row>
    <row r="132" spans="1:10">
      <c r="A132" s="208" t="s">
        <v>122</v>
      </c>
      <c r="B132" s="208">
        <v>3640</v>
      </c>
      <c r="C132" s="208">
        <v>10132</v>
      </c>
      <c r="D132" s="208">
        <v>12429</v>
      </c>
      <c r="E132" s="208">
        <v>23460</v>
      </c>
      <c r="F132" s="208">
        <v>25616.180355732053</v>
      </c>
      <c r="G132" s="208">
        <v>31075.752698623019</v>
      </c>
      <c r="H132" s="208">
        <v>36319.922487719916</v>
      </c>
      <c r="I132" s="208">
        <v>41082.663416691867</v>
      </c>
      <c r="J132" s="208">
        <v>48346.826972004419</v>
      </c>
    </row>
    <row r="133" spans="1:10">
      <c r="A133" s="208" t="s">
        <v>254</v>
      </c>
      <c r="B133" s="208">
        <v>0</v>
      </c>
      <c r="C133" s="208">
        <v>3640</v>
      </c>
      <c r="D133" s="208">
        <v>13772</v>
      </c>
      <c r="E133" s="208">
        <v>26201</v>
      </c>
      <c r="F133" s="208">
        <v>49661</v>
      </c>
      <c r="G133" s="208">
        <v>75277.180355732053</v>
      </c>
      <c r="H133" s="208">
        <v>106352.93305435508</v>
      </c>
      <c r="I133" s="208">
        <v>142672.85554207501</v>
      </c>
      <c r="J133" s="208">
        <v>183755.51895876689</v>
      </c>
    </row>
    <row r="134" spans="1:10">
      <c r="A134" s="208" t="s">
        <v>255</v>
      </c>
      <c r="B134" s="208">
        <v>3640</v>
      </c>
      <c r="C134" s="208">
        <v>13772</v>
      </c>
      <c r="D134" s="208">
        <v>26201</v>
      </c>
      <c r="E134" s="208">
        <v>49661</v>
      </c>
      <c r="F134" s="208">
        <v>75277.180355732053</v>
      </c>
      <c r="G134" s="208">
        <v>106352.93305435508</v>
      </c>
      <c r="H134" s="208">
        <v>142672.85554207501</v>
      </c>
      <c r="I134" s="208">
        <v>183755.51895876689</v>
      </c>
      <c r="J134" s="208">
        <v>232102.34593077132</v>
      </c>
    </row>
    <row r="135" spans="1:10">
      <c r="A135" s="202"/>
      <c r="B135" s="202"/>
      <c r="C135" s="202"/>
      <c r="D135" s="202"/>
      <c r="E135" s="202"/>
      <c r="F135" s="202"/>
      <c r="G135" s="202"/>
      <c r="H135" s="202"/>
      <c r="I135" s="202"/>
      <c r="J135" s="202"/>
    </row>
    <row r="136" spans="1:10">
      <c r="A136" s="208"/>
      <c r="B136" s="208"/>
      <c r="C136" s="208"/>
      <c r="D136" s="208"/>
      <c r="E136" s="208"/>
      <c r="F136" s="208" t="s">
        <v>684</v>
      </c>
      <c r="G136" s="208"/>
      <c r="H136" s="208"/>
      <c r="I136" s="208"/>
      <c r="J136" s="208"/>
    </row>
    <row r="137" spans="1:10">
      <c r="A137" s="208" t="s">
        <v>120</v>
      </c>
      <c r="B137" s="208">
        <v>2019</v>
      </c>
      <c r="C137" s="208">
        <v>2020</v>
      </c>
      <c r="D137" s="208">
        <v>2021</v>
      </c>
      <c r="E137" s="208">
        <v>2022</v>
      </c>
      <c r="F137" s="208">
        <v>2023</v>
      </c>
      <c r="G137" s="208">
        <v>2024</v>
      </c>
      <c r="H137" s="208">
        <v>2025</v>
      </c>
      <c r="I137" s="208">
        <v>2026</v>
      </c>
      <c r="J137" s="208">
        <v>2027</v>
      </c>
    </row>
    <row r="138" spans="1:10">
      <c r="A138" s="208"/>
      <c r="B138" s="208" t="s">
        <v>121</v>
      </c>
      <c r="C138" s="208" t="s">
        <v>121</v>
      </c>
      <c r="D138" s="208" t="s">
        <v>121</v>
      </c>
      <c r="E138" s="208" t="s">
        <v>121</v>
      </c>
      <c r="F138" s="208" t="s">
        <v>121</v>
      </c>
      <c r="G138" s="208" t="s">
        <v>121</v>
      </c>
      <c r="H138" s="208" t="s">
        <v>121</v>
      </c>
      <c r="I138" s="208" t="s">
        <v>121</v>
      </c>
      <c r="J138" s="208" t="s">
        <v>121</v>
      </c>
    </row>
    <row r="139" spans="1:10">
      <c r="A139" s="208" t="s">
        <v>89</v>
      </c>
      <c r="B139" s="208">
        <v>54000</v>
      </c>
      <c r="C139" s="208">
        <v>64800</v>
      </c>
      <c r="D139" s="208">
        <v>81000</v>
      </c>
      <c r="E139" s="208">
        <v>95580</v>
      </c>
      <c r="F139" s="208">
        <v>115617.82139567085</v>
      </c>
      <c r="G139" s="208">
        <v>137544.10542897342</v>
      </c>
      <c r="H139" s="208">
        <v>160877.70654570326</v>
      </c>
      <c r="I139" s="208">
        <v>185009.36252755873</v>
      </c>
      <c r="J139" s="208">
        <v>212760.76690669253</v>
      </c>
    </row>
    <row r="140" spans="1:10">
      <c r="A140" s="208" t="s">
        <v>21</v>
      </c>
      <c r="B140" s="208">
        <v>-32400</v>
      </c>
      <c r="C140" s="208">
        <v>-32400</v>
      </c>
      <c r="D140" s="208">
        <v>-32400</v>
      </c>
      <c r="E140" s="208">
        <v>-38232</v>
      </c>
      <c r="F140" s="208">
        <v>-50101.055938124024</v>
      </c>
      <c r="G140" s="208">
        <v>-62353.327794467936</v>
      </c>
      <c r="H140" s="208">
        <v>-76148.781098299529</v>
      </c>
      <c r="I140" s="208">
        <v>-91271.285513595634</v>
      </c>
      <c r="J140" s="208">
        <v>-106380.38345334627</v>
      </c>
    </row>
    <row r="141" spans="1:10">
      <c r="A141" s="208" t="s">
        <v>22</v>
      </c>
      <c r="B141" s="208">
        <v>21600</v>
      </c>
      <c r="C141" s="208">
        <v>32400</v>
      </c>
      <c r="D141" s="208">
        <v>48600</v>
      </c>
      <c r="E141" s="208">
        <v>57348</v>
      </c>
      <c r="F141" s="208">
        <v>65516.765457546826</v>
      </c>
      <c r="G141" s="208">
        <v>75190.777634505474</v>
      </c>
      <c r="H141" s="208">
        <v>84728.92544740373</v>
      </c>
      <c r="I141" s="208">
        <v>93738.077013963091</v>
      </c>
      <c r="J141" s="208">
        <v>106380.38345334627</v>
      </c>
    </row>
    <row r="142" spans="1:10">
      <c r="A142" s="208" t="s">
        <v>23</v>
      </c>
      <c r="B142" s="208">
        <v>-10800</v>
      </c>
      <c r="C142" s="208">
        <v>-10125</v>
      </c>
      <c r="D142" s="208">
        <v>-21094</v>
      </c>
      <c r="E142" s="208">
        <v>-14934</v>
      </c>
      <c r="F142" s="208">
        <v>-22079.760023236562</v>
      </c>
      <c r="G142" s="208">
        <v>-26267.065092753914</v>
      </c>
      <c r="H142" s="208">
        <v>-30723.128240425456</v>
      </c>
      <c r="I142" s="208">
        <v>-35331.597476489274</v>
      </c>
      <c r="J142" s="208">
        <v>-40631.337097962663</v>
      </c>
    </row>
    <row r="143" spans="1:10">
      <c r="A143" s="208" t="s">
        <v>90</v>
      </c>
      <c r="B143" s="208">
        <v>10800</v>
      </c>
      <c r="C143" s="208">
        <v>22275</v>
      </c>
      <c r="D143" s="208">
        <v>27506</v>
      </c>
      <c r="E143" s="208">
        <v>42414</v>
      </c>
      <c r="F143" s="208">
        <v>43437.005434310267</v>
      </c>
      <c r="G143" s="208">
        <v>48923.712541751564</v>
      </c>
      <c r="H143" s="208">
        <v>54005.79720697827</v>
      </c>
      <c r="I143" s="208">
        <v>58406.479537473817</v>
      </c>
      <c r="J143" s="208">
        <v>65749.046355383602</v>
      </c>
    </row>
    <row r="144" spans="1:10">
      <c r="A144" s="208" t="s">
        <v>91</v>
      </c>
      <c r="B144" s="208">
        <v>-600</v>
      </c>
      <c r="C144" s="208">
        <v>-800</v>
      </c>
      <c r="D144" s="208">
        <v>-750</v>
      </c>
      <c r="E144" s="208">
        <v>-900</v>
      </c>
      <c r="F144" s="208">
        <v>-1195.5319817192023</v>
      </c>
      <c r="G144" s="208">
        <v>-1422.258047697936</v>
      </c>
      <c r="H144" s="208">
        <v>-1663.5363043454354</v>
      </c>
      <c r="I144" s="208">
        <v>-1913.0667499972506</v>
      </c>
      <c r="J144" s="208">
        <v>-2200.0267624968383</v>
      </c>
    </row>
    <row r="145" spans="1:10">
      <c r="A145" s="208" t="s">
        <v>92</v>
      </c>
      <c r="B145" s="208">
        <v>10200</v>
      </c>
      <c r="C145" s="208">
        <v>21475</v>
      </c>
      <c r="D145" s="208">
        <v>26756</v>
      </c>
      <c r="E145" s="208">
        <v>41514</v>
      </c>
      <c r="F145" s="208">
        <v>42241.473452591068</v>
      </c>
      <c r="G145" s="208">
        <v>47501.454494053629</v>
      </c>
      <c r="H145" s="208">
        <v>52342.260902632835</v>
      </c>
      <c r="I145" s="208">
        <v>56493.412787476569</v>
      </c>
      <c r="J145" s="208">
        <v>63549.019592886762</v>
      </c>
    </row>
    <row r="146" spans="1:10">
      <c r="A146" s="208" t="s">
        <v>93</v>
      </c>
      <c r="B146" s="208">
        <v>-5000</v>
      </c>
      <c r="C146" s="208">
        <v>-7000</v>
      </c>
      <c r="D146" s="208">
        <v>-9000</v>
      </c>
      <c r="E146" s="208">
        <v>-8000</v>
      </c>
      <c r="F146" s="208">
        <v>-7111.1111111111104</v>
      </c>
      <c r="G146" s="208">
        <v>-6320.9876543209866</v>
      </c>
      <c r="H146" s="208">
        <v>-5618.6556927297652</v>
      </c>
      <c r="I146" s="208">
        <v>-4994.3606157597906</v>
      </c>
      <c r="J146" s="208">
        <v>-4439.4316584531471</v>
      </c>
    </row>
    <row r="147" spans="1:10">
      <c r="A147" s="208" t="s">
        <v>26</v>
      </c>
      <c r="B147" s="208">
        <v>5200</v>
      </c>
      <c r="C147" s="208">
        <v>14475</v>
      </c>
      <c r="D147" s="208">
        <v>17756</v>
      </c>
      <c r="E147" s="208">
        <v>33514</v>
      </c>
      <c r="F147" s="208">
        <v>35130.362341479959</v>
      </c>
      <c r="G147" s="208">
        <v>41180.466839732646</v>
      </c>
      <c r="H147" s="208">
        <v>46723.605209903071</v>
      </c>
      <c r="I147" s="208">
        <v>51499.052171716779</v>
      </c>
      <c r="J147" s="208">
        <v>59109.587934433614</v>
      </c>
    </row>
    <row r="148" spans="1:10">
      <c r="A148" s="208" t="s">
        <v>27</v>
      </c>
      <c r="B148" s="208">
        <v>-1560</v>
      </c>
      <c r="C148" s="208">
        <v>-4343</v>
      </c>
      <c r="D148" s="208">
        <v>-5327</v>
      </c>
      <c r="E148" s="208">
        <v>-10054</v>
      </c>
      <c r="F148" s="208">
        <v>-10539.108702443988</v>
      </c>
      <c r="G148" s="208">
        <v>-12354.140051919794</v>
      </c>
      <c r="H148" s="208">
        <v>-14017.081562970921</v>
      </c>
      <c r="I148" s="208">
        <v>-15449.715651515033</v>
      </c>
      <c r="J148" s="208">
        <v>-17732.876380330083</v>
      </c>
    </row>
    <row r="149" spans="1:10">
      <c r="A149" s="208" t="s">
        <v>122</v>
      </c>
      <c r="B149" s="208">
        <v>3640</v>
      </c>
      <c r="C149" s="208">
        <v>10132</v>
      </c>
      <c r="D149" s="208">
        <v>12429</v>
      </c>
      <c r="E149" s="208">
        <v>23460</v>
      </c>
      <c r="F149" s="208">
        <v>24591.253639035971</v>
      </c>
      <c r="G149" s="208">
        <v>28826.326787812854</v>
      </c>
      <c r="H149" s="208">
        <v>32706.52364693215</v>
      </c>
      <c r="I149" s="208">
        <v>36049.336520201745</v>
      </c>
      <c r="J149" s="208">
        <v>41376.711554103531</v>
      </c>
    </row>
    <row r="150" spans="1:10">
      <c r="A150" s="208" t="s">
        <v>254</v>
      </c>
      <c r="B150" s="208">
        <v>0</v>
      </c>
      <c r="C150" s="208">
        <v>3640</v>
      </c>
      <c r="D150" s="208">
        <v>13772</v>
      </c>
      <c r="E150" s="208">
        <v>26201</v>
      </c>
      <c r="F150" s="208">
        <v>49661</v>
      </c>
      <c r="G150" s="208">
        <v>74252.253639035975</v>
      </c>
      <c r="H150" s="208">
        <v>103078.58042684883</v>
      </c>
      <c r="I150" s="208">
        <v>135785.10407378097</v>
      </c>
      <c r="J150" s="208">
        <v>171834.4405939827</v>
      </c>
    </row>
    <row r="151" spans="1:10">
      <c r="A151" s="208" t="s">
        <v>255</v>
      </c>
      <c r="B151" s="208">
        <v>3640</v>
      </c>
      <c r="C151" s="208">
        <v>13772</v>
      </c>
      <c r="D151" s="208">
        <v>26201</v>
      </c>
      <c r="E151" s="208">
        <v>49661</v>
      </c>
      <c r="F151" s="208">
        <v>74252.253639035975</v>
      </c>
      <c r="G151" s="208">
        <v>103078.58042684883</v>
      </c>
      <c r="H151" s="208">
        <v>135785.10407378097</v>
      </c>
      <c r="I151" s="208">
        <v>171834.4405939827</v>
      </c>
      <c r="J151" s="208">
        <v>213211.15214808623</v>
      </c>
    </row>
    <row r="152" spans="1:10">
      <c r="A152" s="202"/>
      <c r="B152" s="202"/>
      <c r="C152" s="202"/>
      <c r="D152" s="202"/>
      <c r="E152" s="202"/>
      <c r="F152" s="202"/>
      <c r="G152" s="202"/>
      <c r="H152" s="202"/>
      <c r="I152" s="202"/>
      <c r="J152" s="202"/>
    </row>
    <row r="153" spans="1:10">
      <c r="A153" s="202"/>
      <c r="B153" s="202"/>
      <c r="C153" s="202"/>
      <c r="D153" s="202"/>
      <c r="E153" s="202"/>
      <c r="F153" s="202"/>
      <c r="G153" s="202"/>
      <c r="H153" s="202"/>
      <c r="I153" s="202"/>
      <c r="J153" s="202"/>
    </row>
    <row r="154" spans="1:10">
      <c r="A154" s="208"/>
      <c r="B154" s="208"/>
      <c r="C154" s="208"/>
      <c r="D154" s="208"/>
      <c r="E154" s="208"/>
      <c r="F154" s="208" t="s">
        <v>685</v>
      </c>
      <c r="G154" s="208"/>
      <c r="H154" s="208"/>
      <c r="I154" s="208"/>
      <c r="J154" s="208"/>
    </row>
    <row r="155" spans="1:10">
      <c r="A155" s="208" t="s">
        <v>120</v>
      </c>
      <c r="B155" s="208">
        <v>2019</v>
      </c>
      <c r="C155" s="208">
        <v>2020</v>
      </c>
      <c r="D155" s="208">
        <v>2021</v>
      </c>
      <c r="E155" s="208">
        <v>2022</v>
      </c>
      <c r="F155" s="208">
        <v>2023</v>
      </c>
      <c r="G155" s="208">
        <v>2024</v>
      </c>
      <c r="H155" s="208">
        <v>2025</v>
      </c>
      <c r="I155" s="208">
        <v>2026</v>
      </c>
      <c r="J155" s="208">
        <v>2027</v>
      </c>
    </row>
    <row r="156" spans="1:10">
      <c r="A156" s="208"/>
      <c r="B156" s="208" t="s">
        <v>121</v>
      </c>
      <c r="C156" s="208" t="s">
        <v>121</v>
      </c>
      <c r="D156" s="208" t="s">
        <v>121</v>
      </c>
      <c r="E156" s="208" t="s">
        <v>121</v>
      </c>
      <c r="F156" s="208" t="s">
        <v>121</v>
      </c>
      <c r="G156" s="208" t="s">
        <v>121</v>
      </c>
      <c r="H156" s="208" t="s">
        <v>121</v>
      </c>
      <c r="I156" s="208" t="s">
        <v>121</v>
      </c>
      <c r="J156" s="208" t="s">
        <v>121</v>
      </c>
    </row>
    <row r="157" spans="1:10">
      <c r="A157" s="208" t="s">
        <v>89</v>
      </c>
      <c r="B157" s="208">
        <v>54000</v>
      </c>
      <c r="C157" s="208">
        <v>64800</v>
      </c>
      <c r="D157" s="208">
        <v>81000</v>
      </c>
      <c r="E157" s="208">
        <v>95580</v>
      </c>
      <c r="F157" s="208">
        <v>113614.03925610376</v>
      </c>
      <c r="G157" s="208">
        <v>133005.68924868922</v>
      </c>
      <c r="H157" s="208">
        <v>153313.00464075839</v>
      </c>
      <c r="I157" s="208">
        <v>174010.26026726078</v>
      </c>
      <c r="J157" s="208">
        <v>197501.64540334098</v>
      </c>
    </row>
    <row r="158" spans="1:10">
      <c r="A158" s="208" t="s">
        <v>21</v>
      </c>
      <c r="B158" s="208">
        <v>-32400</v>
      </c>
      <c r="C158" s="208">
        <v>-32400</v>
      </c>
      <c r="D158" s="208">
        <v>-32400</v>
      </c>
      <c r="E158" s="208">
        <v>-38232</v>
      </c>
      <c r="F158" s="208">
        <v>-49232.750344311615</v>
      </c>
      <c r="G158" s="208">
        <v>-60295.912459405765</v>
      </c>
      <c r="H158" s="208">
        <v>-72568.155529958967</v>
      </c>
      <c r="I158" s="208">
        <v>-85845.061731848647</v>
      </c>
      <c r="J158" s="208">
        <v>-98750.822701670491</v>
      </c>
    </row>
    <row r="159" spans="1:10">
      <c r="A159" s="208" t="s">
        <v>22</v>
      </c>
      <c r="B159" s="208">
        <v>21600</v>
      </c>
      <c r="C159" s="208">
        <v>32400</v>
      </c>
      <c r="D159" s="208">
        <v>48600</v>
      </c>
      <c r="E159" s="208">
        <v>57348</v>
      </c>
      <c r="F159" s="208">
        <v>64381.288911792144</v>
      </c>
      <c r="G159" s="208">
        <v>72709.776789283453</v>
      </c>
      <c r="H159" s="208">
        <v>80744.84911079942</v>
      </c>
      <c r="I159" s="208">
        <v>88165.198535412128</v>
      </c>
      <c r="J159" s="208">
        <v>98750.822701670491</v>
      </c>
    </row>
    <row r="160" spans="1:10">
      <c r="A160" s="208" t="s">
        <v>23</v>
      </c>
      <c r="B160" s="208">
        <v>-10800</v>
      </c>
      <c r="C160" s="208">
        <v>-10125</v>
      </c>
      <c r="D160" s="208">
        <v>-21094</v>
      </c>
      <c r="E160" s="208">
        <v>-14934</v>
      </c>
      <c r="F160" s="208">
        <v>-21697.093854246239</v>
      </c>
      <c r="G160" s="208">
        <v>-25400.354935646585</v>
      </c>
      <c r="H160" s="208">
        <v>-29278.482417729152</v>
      </c>
      <c r="I160" s="208">
        <v>-33231.077544122592</v>
      </c>
      <c r="J160" s="208">
        <v>-37717.273012579142</v>
      </c>
    </row>
    <row r="161" spans="1:10">
      <c r="A161" s="208" t="s">
        <v>90</v>
      </c>
      <c r="B161" s="208">
        <v>10800</v>
      </c>
      <c r="C161" s="208">
        <v>22275</v>
      </c>
      <c r="D161" s="208">
        <v>27506</v>
      </c>
      <c r="E161" s="208">
        <v>42414</v>
      </c>
      <c r="F161" s="208">
        <v>42684.195057545905</v>
      </c>
      <c r="G161" s="208">
        <v>47309.421853636872</v>
      </c>
      <c r="H161" s="208">
        <v>51466.366693070268</v>
      </c>
      <c r="I161" s="208">
        <v>54934.120991289536</v>
      </c>
      <c r="J161" s="208">
        <v>61033.549689091349</v>
      </c>
    </row>
    <row r="162" spans="1:10">
      <c r="A162" s="208" t="s">
        <v>91</v>
      </c>
      <c r="B162" s="208">
        <v>-600</v>
      </c>
      <c r="C162" s="208">
        <v>-800</v>
      </c>
      <c r="D162" s="208">
        <v>-750</v>
      </c>
      <c r="E162" s="208">
        <v>-900</v>
      </c>
      <c r="F162" s="208">
        <v>-1174.8121168806153</v>
      </c>
      <c r="G162" s="208">
        <v>-1375.329108678118</v>
      </c>
      <c r="H162" s="208">
        <v>-1585.3144268670176</v>
      </c>
      <c r="I162" s="208">
        <v>-1799.331874494065</v>
      </c>
      <c r="J162" s="208">
        <v>-2042.2416775507638</v>
      </c>
    </row>
    <row r="163" spans="1:10">
      <c r="A163" s="208" t="s">
        <v>92</v>
      </c>
      <c r="B163" s="208">
        <v>10200</v>
      </c>
      <c r="C163" s="208">
        <v>21475</v>
      </c>
      <c r="D163" s="208">
        <v>26756</v>
      </c>
      <c r="E163" s="208">
        <v>41514</v>
      </c>
      <c r="F163" s="208">
        <v>41509.382940665288</v>
      </c>
      <c r="G163" s="208">
        <v>45934.092744958754</v>
      </c>
      <c r="H163" s="208">
        <v>49881.052266203253</v>
      </c>
      <c r="I163" s="208">
        <v>53134.789116795473</v>
      </c>
      <c r="J163" s="208">
        <v>58991.308011540583</v>
      </c>
    </row>
    <row r="164" spans="1:10">
      <c r="A164" s="208" t="s">
        <v>93</v>
      </c>
      <c r="B164" s="208">
        <v>-5000</v>
      </c>
      <c r="C164" s="208">
        <v>-7000</v>
      </c>
      <c r="D164" s="208">
        <v>-9000</v>
      </c>
      <c r="E164" s="208">
        <v>-8000</v>
      </c>
      <c r="F164" s="208">
        <v>-7111.1111111111104</v>
      </c>
      <c r="G164" s="208">
        <v>-6320.9876543209866</v>
      </c>
      <c r="H164" s="208">
        <v>-5618.6556927297652</v>
      </c>
      <c r="I164" s="208">
        <v>-4994.3606157597906</v>
      </c>
      <c r="J164" s="208">
        <v>-4439.4316584531471</v>
      </c>
    </row>
    <row r="165" spans="1:10">
      <c r="A165" s="208" t="s">
        <v>26</v>
      </c>
      <c r="B165" s="208">
        <v>5200</v>
      </c>
      <c r="C165" s="208">
        <v>14475</v>
      </c>
      <c r="D165" s="208">
        <v>17756</v>
      </c>
      <c r="E165" s="208">
        <v>33514</v>
      </c>
      <c r="F165" s="208">
        <v>34398.271829554178</v>
      </c>
      <c r="G165" s="208">
        <v>39613.105090637764</v>
      </c>
      <c r="H165" s="208">
        <v>44262.396573473488</v>
      </c>
      <c r="I165" s="208">
        <v>48140.428501035683</v>
      </c>
      <c r="J165" s="208">
        <v>54551.876353087435</v>
      </c>
    </row>
    <row r="166" spans="1:10">
      <c r="A166" s="208" t="s">
        <v>27</v>
      </c>
      <c r="B166" s="208">
        <v>-1560</v>
      </c>
      <c r="C166" s="208">
        <v>-4343</v>
      </c>
      <c r="D166" s="208">
        <v>-5327</v>
      </c>
      <c r="E166" s="208">
        <v>-10054</v>
      </c>
      <c r="F166" s="208">
        <v>-10319.481548866253</v>
      </c>
      <c r="G166" s="208">
        <v>-11883.931527191329</v>
      </c>
      <c r="H166" s="208">
        <v>-13278.718972042047</v>
      </c>
      <c r="I166" s="208">
        <v>-14442.128550310705</v>
      </c>
      <c r="J166" s="208">
        <v>-16365.56290592623</v>
      </c>
    </row>
    <row r="167" spans="1:10">
      <c r="A167" s="208" t="s">
        <v>122</v>
      </c>
      <c r="B167" s="208">
        <v>3640</v>
      </c>
      <c r="C167" s="208">
        <v>10132</v>
      </c>
      <c r="D167" s="208">
        <v>12429</v>
      </c>
      <c r="E167" s="208">
        <v>23460</v>
      </c>
      <c r="F167" s="208">
        <v>24078.790280687925</v>
      </c>
      <c r="G167" s="208">
        <v>27729.173563446435</v>
      </c>
      <c r="H167" s="208">
        <v>30983.677601431442</v>
      </c>
      <c r="I167" s="208">
        <v>33698.299950724977</v>
      </c>
      <c r="J167" s="208">
        <v>38186.313447161207</v>
      </c>
    </row>
    <row r="168" spans="1:10">
      <c r="A168" s="208" t="s">
        <v>254</v>
      </c>
      <c r="B168" s="208">
        <v>0</v>
      </c>
      <c r="C168" s="208">
        <v>3640</v>
      </c>
      <c r="D168" s="208">
        <v>13772</v>
      </c>
      <c r="E168" s="208">
        <v>26201</v>
      </c>
      <c r="F168" s="208">
        <v>49661</v>
      </c>
      <c r="G168" s="208">
        <v>73739.790280687928</v>
      </c>
      <c r="H168" s="208">
        <v>101468.96384413436</v>
      </c>
      <c r="I168" s="208">
        <v>132452.64144556579</v>
      </c>
      <c r="J168" s="208">
        <v>166150.94139629079</v>
      </c>
    </row>
    <row r="169" spans="1:10">
      <c r="A169" s="208" t="s">
        <v>255</v>
      </c>
      <c r="B169" s="208">
        <v>3640</v>
      </c>
      <c r="C169" s="208">
        <v>13772</v>
      </c>
      <c r="D169" s="208">
        <v>26201</v>
      </c>
      <c r="E169" s="208">
        <v>49661</v>
      </c>
      <c r="F169" s="208">
        <v>73739.790280687928</v>
      </c>
      <c r="G169" s="208">
        <v>101468.96384413436</v>
      </c>
      <c r="H169" s="208">
        <v>132452.64144556579</v>
      </c>
      <c r="I169" s="208">
        <v>166150.94139629079</v>
      </c>
      <c r="J169" s="208">
        <v>204337.25484345198</v>
      </c>
    </row>
    <row r="170" spans="1:10">
      <c r="A170" s="202"/>
      <c r="B170" s="202"/>
      <c r="C170" s="202"/>
      <c r="D170" s="202"/>
      <c r="E170" s="202"/>
      <c r="F170" s="202"/>
      <c r="G170" s="202"/>
      <c r="H170" s="202"/>
      <c r="I170" s="202"/>
      <c r="J170" s="202"/>
    </row>
    <row r="171" spans="1:10">
      <c r="A171" s="202"/>
      <c r="B171" s="202"/>
      <c r="C171" s="202"/>
      <c r="D171" s="202"/>
      <c r="E171" s="202"/>
      <c r="F171" s="202"/>
      <c r="G171" s="202"/>
      <c r="H171" s="202"/>
      <c r="I171" s="202"/>
      <c r="J171" s="202"/>
    </row>
    <row r="172" spans="1:10">
      <c r="A172" s="202"/>
      <c r="B172" s="202"/>
      <c r="C172" s="202"/>
      <c r="D172" s="202"/>
      <c r="E172" s="202"/>
      <c r="F172" s="202"/>
      <c r="G172" s="202"/>
      <c r="H172" s="202"/>
      <c r="I172" s="202"/>
      <c r="J172" s="202"/>
    </row>
    <row r="173" spans="1:10">
      <c r="A173" s="202"/>
      <c r="B173" s="202"/>
      <c r="C173" s="202"/>
      <c r="D173" s="202"/>
      <c r="E173" s="202"/>
      <c r="F173" s="202"/>
      <c r="G173" s="202"/>
      <c r="H173" s="202"/>
      <c r="I173" s="202"/>
      <c r="J173" s="202"/>
    </row>
    <row r="174" spans="1:10">
      <c r="A174" s="202"/>
      <c r="B174" s="202"/>
      <c r="C174" s="202"/>
      <c r="D174" s="202"/>
      <c r="E174" s="202"/>
      <c r="F174" s="202"/>
      <c r="G174" s="202"/>
      <c r="H174" s="202"/>
      <c r="I174" s="202"/>
      <c r="J174" s="202"/>
    </row>
    <row r="175" spans="1:10">
      <c r="A175" s="202"/>
      <c r="B175" s="202"/>
      <c r="C175" s="202"/>
      <c r="D175" s="202"/>
      <c r="E175" s="202"/>
      <c r="F175" s="202"/>
      <c r="G175" s="202"/>
      <c r="H175" s="202"/>
      <c r="I175" s="202"/>
      <c r="J175" s="202"/>
    </row>
    <row r="176" spans="1:10">
      <c r="A176" s="202"/>
      <c r="B176" s="202"/>
      <c r="C176" s="202"/>
      <c r="D176" s="202"/>
      <c r="E176" s="202"/>
      <c r="F176" s="202"/>
      <c r="G176" s="202"/>
      <c r="H176" s="202"/>
      <c r="I176" s="202"/>
      <c r="J176" s="202"/>
    </row>
    <row r="177" spans="1:10">
      <c r="A177" s="202"/>
      <c r="B177" s="202"/>
      <c r="C177" s="202"/>
      <c r="D177" s="202"/>
      <c r="E177" s="202"/>
      <c r="F177" s="202"/>
      <c r="G177" s="202"/>
      <c r="H177" s="202"/>
      <c r="I177" s="202"/>
      <c r="J177" s="202"/>
    </row>
    <row r="178" spans="1:10">
      <c r="A178" s="202"/>
      <c r="B178" s="202"/>
      <c r="C178" s="202"/>
      <c r="D178" s="202"/>
      <c r="E178" s="202"/>
      <c r="F178" s="202"/>
      <c r="G178" s="202"/>
      <c r="H178" s="202"/>
      <c r="I178" s="202"/>
      <c r="J178" s="202"/>
    </row>
    <row r="179" spans="1:10">
      <c r="A179" s="202"/>
      <c r="B179" s="202"/>
      <c r="C179" s="202"/>
      <c r="D179" s="202"/>
      <c r="E179" s="202"/>
      <c r="F179" s="202"/>
      <c r="G179" s="202"/>
      <c r="H179" s="202"/>
      <c r="I179" s="202"/>
      <c r="J179" s="202"/>
    </row>
    <row r="180" spans="1:10">
      <c r="A180" s="202"/>
      <c r="B180" s="202"/>
      <c r="C180" s="202"/>
      <c r="D180" s="202"/>
      <c r="E180" s="202"/>
      <c r="F180" s="202"/>
      <c r="G180" s="202"/>
      <c r="H180" s="202"/>
      <c r="I180" s="202"/>
      <c r="J180" s="202"/>
    </row>
    <row r="181" spans="1:10">
      <c r="A181" s="202"/>
      <c r="B181" s="202"/>
      <c r="C181" s="202"/>
      <c r="D181" s="202"/>
      <c r="E181" s="202"/>
      <c r="F181" s="202"/>
      <c r="G181" s="202"/>
      <c r="H181" s="202"/>
      <c r="I181" s="202"/>
      <c r="J181" s="202"/>
    </row>
    <row r="182" spans="1:10">
      <c r="A182" s="202"/>
      <c r="B182" s="202"/>
      <c r="C182" s="202"/>
      <c r="D182" s="202"/>
      <c r="E182" s="202"/>
      <c r="F182" s="202"/>
      <c r="G182" s="202"/>
      <c r="H182" s="202"/>
      <c r="I182" s="202"/>
      <c r="J182" s="202"/>
    </row>
    <row r="183" spans="1:10">
      <c r="A183" s="202"/>
      <c r="B183" s="202"/>
      <c r="C183" s="202"/>
      <c r="D183" s="202"/>
      <c r="E183" s="202"/>
      <c r="F183" s="202"/>
      <c r="G183" s="202"/>
      <c r="H183" s="202"/>
      <c r="I183" s="202"/>
      <c r="J183" s="202"/>
    </row>
    <row r="184" spans="1:10">
      <c r="A184" s="202"/>
      <c r="B184" s="202"/>
      <c r="C184" s="202"/>
      <c r="D184" s="202"/>
      <c r="E184" s="202"/>
      <c r="F184" s="202"/>
      <c r="G184" s="202"/>
      <c r="H184" s="202"/>
      <c r="I184" s="202"/>
      <c r="J184" s="202"/>
    </row>
    <row r="185" spans="1:10">
      <c r="A185" s="202"/>
      <c r="B185" s="202"/>
      <c r="C185" s="202"/>
      <c r="D185" s="202"/>
      <c r="E185" s="202"/>
      <c r="F185" s="202"/>
      <c r="G185" s="202"/>
      <c r="H185" s="202"/>
      <c r="I185" s="202"/>
      <c r="J185" s="202"/>
    </row>
    <row r="186" spans="1:10">
      <c r="A186" s="202"/>
      <c r="B186" s="202"/>
      <c r="C186" s="202"/>
      <c r="D186" s="202"/>
      <c r="E186" s="202"/>
      <c r="F186" s="202"/>
      <c r="G186" s="202"/>
      <c r="H186" s="202"/>
      <c r="I186" s="202"/>
      <c r="J186" s="202"/>
    </row>
    <row r="187" spans="1:10">
      <c r="A187" s="202"/>
      <c r="B187" s="202"/>
      <c r="C187" s="202"/>
      <c r="D187" s="202"/>
      <c r="E187" s="202"/>
      <c r="F187" s="202"/>
      <c r="G187" s="202"/>
      <c r="H187" s="202"/>
      <c r="I187" s="202"/>
      <c r="J187" s="202"/>
    </row>
    <row r="188" spans="1:10">
      <c r="A188" s="202"/>
      <c r="B188" s="202"/>
      <c r="C188" s="202"/>
      <c r="D188" s="202"/>
      <c r="E188" s="202"/>
      <c r="F188" s="202"/>
      <c r="G188" s="202"/>
      <c r="H188" s="202"/>
      <c r="I188" s="202"/>
      <c r="J188" s="202"/>
    </row>
    <row r="189" spans="1:10">
      <c r="A189" s="202"/>
      <c r="B189" s="202"/>
      <c r="C189" s="202"/>
      <c r="D189" s="202"/>
      <c r="E189" s="202"/>
      <c r="F189" s="202"/>
      <c r="G189" s="202"/>
      <c r="H189" s="202"/>
      <c r="I189" s="202"/>
      <c r="J189" s="202"/>
    </row>
    <row r="190" spans="1:10">
      <c r="A190" s="202"/>
      <c r="B190" s="202"/>
      <c r="C190" s="202"/>
      <c r="D190" s="202"/>
      <c r="E190" s="202"/>
      <c r="F190" s="202"/>
      <c r="G190" s="202"/>
      <c r="H190" s="202"/>
      <c r="I190" s="202"/>
      <c r="J190" s="202"/>
    </row>
    <row r="191" spans="1:10">
      <c r="A191" s="202"/>
      <c r="B191" s="202"/>
      <c r="C191" s="202"/>
      <c r="D191" s="202"/>
      <c r="E191" s="202"/>
      <c r="F191" s="202"/>
      <c r="G191" s="202"/>
      <c r="H191" s="202"/>
      <c r="I191" s="202"/>
      <c r="J191" s="202"/>
    </row>
    <row r="192" spans="1:10">
      <c r="A192" s="202"/>
      <c r="B192" s="202"/>
      <c r="C192" s="202"/>
      <c r="D192" s="202"/>
      <c r="E192" s="202"/>
      <c r="F192" s="202"/>
      <c r="G192" s="202"/>
      <c r="H192" s="202"/>
      <c r="I192" s="202"/>
      <c r="J192" s="202"/>
    </row>
    <row r="193" spans="1:10">
      <c r="A193" s="202"/>
      <c r="B193" s="202"/>
      <c r="C193" s="202"/>
      <c r="D193" s="202"/>
      <c r="E193" s="202"/>
      <c r="F193" s="202"/>
      <c r="G193" s="202"/>
      <c r="H193" s="202"/>
      <c r="I193" s="202"/>
      <c r="J193" s="202"/>
    </row>
    <row r="194" spans="1:10">
      <c r="A194" s="202"/>
      <c r="B194" s="202"/>
      <c r="C194" s="202"/>
      <c r="D194" s="202"/>
      <c r="E194" s="202"/>
      <c r="F194" s="202"/>
      <c r="G194" s="202"/>
      <c r="H194" s="202"/>
      <c r="I194" s="202"/>
      <c r="J194" s="202"/>
    </row>
    <row r="195" spans="1:10">
      <c r="A195" s="202"/>
      <c r="B195" s="202"/>
      <c r="C195" s="202"/>
      <c r="D195" s="202"/>
      <c r="E195" s="202"/>
      <c r="F195" s="202"/>
      <c r="G195" s="202"/>
      <c r="H195" s="202"/>
      <c r="I195" s="202"/>
      <c r="J195" s="202"/>
    </row>
    <row r="196" spans="1:10">
      <c r="A196" s="202"/>
      <c r="B196" s="202"/>
      <c r="C196" s="202"/>
      <c r="D196" s="202"/>
      <c r="E196" s="202"/>
      <c r="F196" s="202"/>
      <c r="G196" s="202"/>
      <c r="H196" s="202"/>
      <c r="I196" s="202"/>
      <c r="J196" s="202"/>
    </row>
    <row r="197" spans="1:10">
      <c r="A197" s="202"/>
      <c r="B197" s="202"/>
      <c r="C197" s="202"/>
      <c r="D197" s="202"/>
      <c r="E197" s="202"/>
      <c r="F197" s="202"/>
      <c r="G197" s="202"/>
      <c r="H197" s="202"/>
      <c r="I197" s="202"/>
      <c r="J197" s="202"/>
    </row>
    <row r="198" spans="1:10">
      <c r="A198" s="202"/>
      <c r="B198" s="202"/>
      <c r="C198" s="202"/>
      <c r="D198" s="202"/>
      <c r="E198" s="202"/>
      <c r="F198" s="202"/>
      <c r="G198" s="202"/>
      <c r="H198" s="202"/>
      <c r="I198" s="202"/>
      <c r="J198" s="202"/>
    </row>
    <row r="199" spans="1:10">
      <c r="A199" s="202"/>
      <c r="B199" s="202"/>
      <c r="C199" s="202"/>
      <c r="D199" s="202"/>
      <c r="E199" s="202"/>
      <c r="F199" s="202"/>
      <c r="G199" s="202"/>
      <c r="H199" s="202"/>
      <c r="I199" s="202"/>
      <c r="J199" s="202"/>
    </row>
    <row r="200" spans="1:10">
      <c r="A200" s="202"/>
      <c r="B200" s="202"/>
      <c r="C200" s="202"/>
      <c r="D200" s="202"/>
      <c r="E200" s="202"/>
      <c r="F200" s="202"/>
      <c r="G200" s="202"/>
      <c r="H200" s="202"/>
      <c r="I200" s="202"/>
      <c r="J200" s="202"/>
    </row>
    <row r="201" spans="1:10">
      <c r="A201" s="202"/>
      <c r="B201" s="202"/>
      <c r="C201" s="202"/>
      <c r="D201" s="202"/>
      <c r="E201" s="202"/>
      <c r="F201" s="202"/>
      <c r="G201" s="202"/>
      <c r="H201" s="202"/>
      <c r="I201" s="202"/>
      <c r="J201" s="202"/>
    </row>
    <row r="202" spans="1:10">
      <c r="A202" s="202"/>
      <c r="B202" s="202"/>
      <c r="C202" s="202"/>
      <c r="D202" s="202"/>
      <c r="E202" s="202"/>
      <c r="F202" s="202"/>
      <c r="G202" s="202"/>
      <c r="H202" s="202"/>
      <c r="I202" s="202"/>
      <c r="J202" s="202"/>
    </row>
    <row r="203" spans="1:10">
      <c r="A203" s="202"/>
      <c r="B203" s="202"/>
      <c r="C203" s="202"/>
      <c r="D203" s="202"/>
      <c r="E203" s="202"/>
      <c r="F203" s="202"/>
      <c r="G203" s="202"/>
      <c r="H203" s="202"/>
      <c r="I203" s="202"/>
      <c r="J203" s="202"/>
    </row>
    <row r="204" spans="1:10">
      <c r="A204" s="202"/>
      <c r="B204" s="202"/>
      <c r="C204" s="202"/>
      <c r="D204" s="202"/>
      <c r="E204" s="202"/>
      <c r="F204" s="202"/>
      <c r="G204" s="202"/>
      <c r="H204" s="202"/>
      <c r="I204" s="202"/>
      <c r="J204" s="202"/>
    </row>
    <row r="205" spans="1:10">
      <c r="A205" s="202"/>
      <c r="B205" s="202"/>
      <c r="C205" s="202"/>
      <c r="D205" s="202"/>
      <c r="E205" s="202"/>
      <c r="F205" s="202"/>
      <c r="G205" s="202"/>
      <c r="H205" s="202"/>
      <c r="I205" s="202"/>
      <c r="J205" s="202"/>
    </row>
  </sheetData>
  <dataValidations count="1">
    <dataValidation type="list" allowBlank="1" showInputMessage="1" showErrorMessage="1" sqref="G5" xr:uid="{5FA2BD77-4474-4FD2-9DEE-A7F9941649AA}">
      <formula1>"1,2,3"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2530-7D6C-4476-8A74-395D28331D4A}">
  <dimension ref="A1:Q200"/>
  <sheetViews>
    <sheetView topLeftCell="F86" workbookViewId="0">
      <selection activeCell="M82" sqref="M82"/>
    </sheetView>
  </sheetViews>
  <sheetFormatPr defaultRowHeight="14.5"/>
  <cols>
    <col min="1" max="1" width="31.90625" customWidth="1"/>
    <col min="2" max="2" width="19.90625" customWidth="1"/>
    <col min="3" max="7" width="10.36328125" bestFit="1" customWidth="1"/>
    <col min="11" max="11" width="16.6328125" bestFit="1" customWidth="1"/>
  </cols>
  <sheetData>
    <row r="1" spans="1:12" ht="15.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5">
      <c r="A2" s="35" t="s">
        <v>258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5.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5.5">
      <c r="A4" s="35" t="s">
        <v>747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5.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2" ht="15.5">
      <c r="A6" s="35" t="s">
        <v>402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15.5">
      <c r="A7" s="33" t="s">
        <v>748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ht="15.5">
      <c r="A8" s="33" t="s">
        <v>749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ht="15.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ht="15.5">
      <c r="A10" s="33" t="s">
        <v>750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15.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2" ht="15.5">
      <c r="A12" s="33" t="s">
        <v>751</v>
      </c>
      <c r="B12" s="33">
        <v>2022</v>
      </c>
      <c r="C12" s="33">
        <v>2023</v>
      </c>
      <c r="D12" s="33">
        <v>2024</v>
      </c>
      <c r="E12" s="33">
        <v>2025</v>
      </c>
      <c r="F12" s="33">
        <v>2026</v>
      </c>
      <c r="G12" s="33">
        <v>2027</v>
      </c>
      <c r="H12" s="33"/>
      <c r="I12" s="33"/>
      <c r="J12" s="33"/>
      <c r="K12" s="33"/>
      <c r="L12" s="33"/>
    </row>
    <row r="13" spans="1:12" ht="15.5">
      <c r="A13" s="35"/>
      <c r="B13" s="35" t="s">
        <v>406</v>
      </c>
      <c r="C13" s="35" t="s">
        <v>406</v>
      </c>
      <c r="D13" s="35" t="s">
        <v>406</v>
      </c>
      <c r="E13" s="35" t="s">
        <v>406</v>
      </c>
      <c r="F13" s="35" t="s">
        <v>406</v>
      </c>
      <c r="G13" s="35" t="s">
        <v>406</v>
      </c>
      <c r="H13" s="33"/>
      <c r="I13" s="35" t="s">
        <v>752</v>
      </c>
      <c r="J13" s="35"/>
      <c r="K13" s="33"/>
      <c r="L13" s="33"/>
    </row>
    <row r="14" spans="1:12" ht="15.5">
      <c r="A14" s="33" t="s">
        <v>20</v>
      </c>
      <c r="B14" s="151">
        <v>3000</v>
      </c>
      <c r="C14" s="230">
        <f>(1+$J14)*B14</f>
        <v>3300.0000000000005</v>
      </c>
      <c r="D14" s="230">
        <f t="shared" ref="D14:G14" si="0">(1+$J14)*C14</f>
        <v>3630.0000000000009</v>
      </c>
      <c r="E14" s="230">
        <f t="shared" si="0"/>
        <v>3993.0000000000014</v>
      </c>
      <c r="F14" s="230">
        <f t="shared" si="0"/>
        <v>4392.300000000002</v>
      </c>
      <c r="G14" s="230">
        <f t="shared" si="0"/>
        <v>4831.5300000000025</v>
      </c>
      <c r="H14" s="33"/>
      <c r="I14" s="33"/>
      <c r="J14" s="33">
        <v>0.1</v>
      </c>
      <c r="K14" s="33"/>
      <c r="L14" s="33"/>
    </row>
    <row r="15" spans="1:12" ht="15.5">
      <c r="A15" s="33" t="s">
        <v>21</v>
      </c>
      <c r="B15" s="151">
        <v>-2000</v>
      </c>
      <c r="C15" s="230">
        <f t="shared" ref="C15:G15" si="1">(1+$J15)*B15</f>
        <v>-2200</v>
      </c>
      <c r="D15" s="230">
        <f t="shared" si="1"/>
        <v>-2420</v>
      </c>
      <c r="E15" s="230">
        <f t="shared" si="1"/>
        <v>-2662</v>
      </c>
      <c r="F15" s="230">
        <f t="shared" si="1"/>
        <v>-2928.2000000000003</v>
      </c>
      <c r="G15" s="230">
        <f t="shared" si="1"/>
        <v>-3221.0200000000004</v>
      </c>
      <c r="H15" s="33"/>
      <c r="I15" s="33"/>
      <c r="J15" s="33">
        <v>0.1</v>
      </c>
      <c r="K15" s="33"/>
      <c r="L15" s="33"/>
    </row>
    <row r="16" spans="1:12" ht="15.5">
      <c r="A16" s="35" t="s">
        <v>22</v>
      </c>
      <c r="B16" s="154">
        <f>SUM(B14:B15)</f>
        <v>1000</v>
      </c>
      <c r="C16" s="154">
        <f t="shared" ref="C16:G16" si="2">SUM(C14:C15)</f>
        <v>1100.0000000000005</v>
      </c>
      <c r="D16" s="154">
        <f t="shared" si="2"/>
        <v>1210.0000000000009</v>
      </c>
      <c r="E16" s="154">
        <f t="shared" si="2"/>
        <v>1331.0000000000014</v>
      </c>
      <c r="F16" s="154">
        <f t="shared" si="2"/>
        <v>1464.1000000000017</v>
      </c>
      <c r="G16" s="154">
        <f t="shared" si="2"/>
        <v>1610.510000000002</v>
      </c>
      <c r="H16" s="33"/>
      <c r="I16" s="33"/>
      <c r="J16" s="33"/>
      <c r="K16" s="33"/>
      <c r="L16" s="33"/>
    </row>
    <row r="17" spans="1:15" ht="15.5">
      <c r="A17" s="33" t="s">
        <v>563</v>
      </c>
      <c r="B17" s="151">
        <v>-250</v>
      </c>
      <c r="C17" s="230">
        <f t="shared" ref="C17:G17" si="3">(1+$J17)*B17</f>
        <v>-262.5</v>
      </c>
      <c r="D17" s="230">
        <f t="shared" si="3"/>
        <v>-275.625</v>
      </c>
      <c r="E17" s="230">
        <f t="shared" si="3"/>
        <v>-289.40625</v>
      </c>
      <c r="F17" s="230">
        <f t="shared" si="3"/>
        <v>-303.87656250000003</v>
      </c>
      <c r="G17" s="230">
        <f t="shared" si="3"/>
        <v>-319.07039062500007</v>
      </c>
      <c r="H17" s="33"/>
      <c r="I17" s="33"/>
      <c r="J17" s="33">
        <v>0.05</v>
      </c>
      <c r="K17" s="33"/>
      <c r="L17" s="33"/>
    </row>
    <row r="18" spans="1:15" ht="15.5">
      <c r="A18" s="33" t="s">
        <v>381</v>
      </c>
      <c r="B18" s="151">
        <v>-200</v>
      </c>
      <c r="C18" s="230">
        <f t="shared" ref="C18:G18" si="4">(1+$J18)*B18</f>
        <v>-220.00000000000003</v>
      </c>
      <c r="D18" s="230">
        <f t="shared" si="4"/>
        <v>-242.00000000000006</v>
      </c>
      <c r="E18" s="230">
        <f t="shared" si="4"/>
        <v>-266.2000000000001</v>
      </c>
      <c r="F18" s="230">
        <f t="shared" si="4"/>
        <v>-292.82000000000016</v>
      </c>
      <c r="G18" s="230">
        <f t="shared" si="4"/>
        <v>-322.1020000000002</v>
      </c>
      <c r="H18" s="33"/>
      <c r="I18" s="33"/>
      <c r="J18" s="33">
        <v>0.1</v>
      </c>
      <c r="K18" s="33"/>
      <c r="L18" s="33"/>
    </row>
    <row r="19" spans="1:15" ht="15.5">
      <c r="A19" s="33" t="s">
        <v>93</v>
      </c>
      <c r="B19" s="151">
        <v>-50</v>
      </c>
      <c r="C19" s="151">
        <f>5%*-B49</f>
        <v>-100</v>
      </c>
      <c r="D19" s="151">
        <f>5%*-C49</f>
        <v>-96.900657894736838</v>
      </c>
      <c r="E19" s="151">
        <f t="shared" ref="E19:F19" si="5">5%*-D49</f>
        <v>-92.25176159972294</v>
      </c>
      <c r="F19" s="151">
        <f t="shared" si="5"/>
        <v>-55.820219814978444</v>
      </c>
      <c r="G19" s="151">
        <f>5%*-F49</f>
        <v>-46.516331563155461</v>
      </c>
      <c r="H19" s="33"/>
      <c r="I19" s="33"/>
      <c r="J19" s="33"/>
      <c r="K19" s="33"/>
      <c r="L19" s="33"/>
    </row>
    <row r="20" spans="1:15" ht="15.5">
      <c r="A20" s="35" t="s">
        <v>26</v>
      </c>
      <c r="B20" s="154">
        <f>SUM(B16:B19)</f>
        <v>500</v>
      </c>
      <c r="C20" s="154">
        <f t="shared" ref="C20:G20" si="6">SUM(C16:C19)</f>
        <v>517.50000000000045</v>
      </c>
      <c r="D20" s="154">
        <f t="shared" si="6"/>
        <v>595.4743421052641</v>
      </c>
      <c r="E20" s="154">
        <f t="shared" si="6"/>
        <v>683.14198840027836</v>
      </c>
      <c r="F20" s="154">
        <f t="shared" si="6"/>
        <v>811.58321768502299</v>
      </c>
      <c r="G20" s="154">
        <f t="shared" si="6"/>
        <v>922.82127781184636</v>
      </c>
      <c r="H20" s="33"/>
      <c r="I20" s="33"/>
      <c r="J20" s="33"/>
      <c r="K20" s="33" t="s">
        <v>370</v>
      </c>
      <c r="L20" s="33">
        <v>380</v>
      </c>
      <c r="N20">
        <v>400</v>
      </c>
      <c r="O20">
        <v>980</v>
      </c>
    </row>
    <row r="21" spans="1:15" ht="15.5">
      <c r="A21" s="33" t="s">
        <v>27</v>
      </c>
      <c r="B21" s="151">
        <v>-120</v>
      </c>
      <c r="C21" s="151">
        <f>25%*-C20</f>
        <v>-129.37500000000011</v>
      </c>
      <c r="D21" s="151">
        <f t="shared" ref="D21:G21" si="7">25%*-D20</f>
        <v>-148.86858552631602</v>
      </c>
      <c r="E21" s="151">
        <f t="shared" si="7"/>
        <v>-170.78549710006959</v>
      </c>
      <c r="F21" s="151">
        <f t="shared" si="7"/>
        <v>-202.89580442125575</v>
      </c>
      <c r="G21" s="151">
        <f t="shared" si="7"/>
        <v>-230.70531945296159</v>
      </c>
      <c r="H21" s="33"/>
      <c r="I21" s="33"/>
      <c r="J21" s="33"/>
      <c r="K21" s="33" t="s">
        <v>420</v>
      </c>
      <c r="L21" s="33">
        <v>100</v>
      </c>
    </row>
    <row r="22" spans="1:15" ht="15.5">
      <c r="A22" s="35" t="s">
        <v>370</v>
      </c>
      <c r="B22" s="154">
        <f>SUM(B20:B21)</f>
        <v>380</v>
      </c>
      <c r="C22" s="154">
        <f t="shared" ref="C22:G22" si="8">SUM(C20:C21)</f>
        <v>388.12500000000034</v>
      </c>
      <c r="D22" s="154">
        <f t="shared" si="8"/>
        <v>446.6057565789481</v>
      </c>
      <c r="E22" s="154">
        <f t="shared" si="8"/>
        <v>512.35649130020875</v>
      </c>
      <c r="F22" s="154">
        <f t="shared" si="8"/>
        <v>608.68741326376721</v>
      </c>
      <c r="G22" s="154">
        <f t="shared" si="8"/>
        <v>692.11595835888477</v>
      </c>
      <c r="H22" s="33"/>
      <c r="I22" s="33"/>
      <c r="J22" s="33"/>
      <c r="K22" s="33"/>
      <c r="L22" s="33"/>
    </row>
    <row r="23" spans="1:15" ht="15.5">
      <c r="A23" s="33" t="s">
        <v>420</v>
      </c>
      <c r="B23" s="151">
        <v>-100</v>
      </c>
      <c r="C23" s="151">
        <f>($B$23/$B$22)*C22</f>
        <v>-102.13815789473692</v>
      </c>
      <c r="D23" s="151">
        <f t="shared" ref="D23:G23" si="9">($B$23/$B$22)*D22</f>
        <v>-117.52783067867054</v>
      </c>
      <c r="E23" s="151">
        <f t="shared" si="9"/>
        <v>-134.83065560531807</v>
      </c>
      <c r="F23" s="151">
        <f t="shared" si="9"/>
        <v>-160.18089822730715</v>
      </c>
      <c r="G23" s="151">
        <f t="shared" si="9"/>
        <v>-182.13577851549599</v>
      </c>
      <c r="H23" s="33"/>
      <c r="I23" s="33"/>
      <c r="J23" s="33"/>
      <c r="K23" s="33"/>
      <c r="L23" s="232">
        <f>L21/L20</f>
        <v>0.26315789473684209</v>
      </c>
      <c r="N23">
        <f>L23*N20</f>
        <v>105.26315789473684</v>
      </c>
      <c r="O23">
        <f>L23*O20</f>
        <v>257.89473684210526</v>
      </c>
    </row>
    <row r="24" spans="1:15" ht="15.5">
      <c r="A24" s="35" t="s">
        <v>753</v>
      </c>
      <c r="B24" s="154">
        <f>SUM(B22:B23)</f>
        <v>280</v>
      </c>
      <c r="C24" s="154">
        <f t="shared" ref="C24:G24" si="10">SUM(C22:C23)</f>
        <v>285.98684210526341</v>
      </c>
      <c r="D24" s="154">
        <f t="shared" si="10"/>
        <v>329.07792590027759</v>
      </c>
      <c r="E24" s="154">
        <f t="shared" si="10"/>
        <v>377.5258356948907</v>
      </c>
      <c r="F24" s="154">
        <f t="shared" si="10"/>
        <v>448.50651503646009</v>
      </c>
      <c r="G24" s="154">
        <f t="shared" si="10"/>
        <v>509.98017984338878</v>
      </c>
      <c r="H24" s="33"/>
      <c r="I24" s="33"/>
      <c r="J24" s="33"/>
      <c r="K24" s="33"/>
      <c r="L24" s="33"/>
    </row>
    <row r="25" spans="1:15" ht="15.5">
      <c r="A25" s="33" t="s">
        <v>254</v>
      </c>
      <c r="B25" s="151">
        <v>520</v>
      </c>
      <c r="C25" s="151">
        <f>B26</f>
        <v>800</v>
      </c>
      <c r="D25" s="151">
        <f t="shared" ref="D25:G25" si="11">C26</f>
        <v>1085.9868421052633</v>
      </c>
      <c r="E25" s="151">
        <f t="shared" si="11"/>
        <v>1415.0647680055408</v>
      </c>
      <c r="F25" s="151">
        <f t="shared" si="11"/>
        <v>1792.5906037004315</v>
      </c>
      <c r="G25" s="151">
        <f t="shared" si="11"/>
        <v>2241.0971187368914</v>
      </c>
      <c r="H25" s="33"/>
      <c r="I25" s="33"/>
      <c r="J25" s="33"/>
      <c r="K25" s="33"/>
      <c r="L25" s="33"/>
    </row>
    <row r="26" spans="1:15" ht="16" thickBot="1">
      <c r="A26" s="228" t="s">
        <v>255</v>
      </c>
      <c r="B26" s="155">
        <f>SUM(B24:B25)</f>
        <v>800</v>
      </c>
      <c r="C26" s="155">
        <f>SUM(C24:C25)</f>
        <v>1085.9868421052633</v>
      </c>
      <c r="D26" s="155">
        <f t="shared" ref="D26:G26" si="12">SUM(D24:D25)</f>
        <v>1415.0647680055408</v>
      </c>
      <c r="E26" s="155">
        <f t="shared" si="12"/>
        <v>1792.5906037004315</v>
      </c>
      <c r="F26" s="155">
        <f t="shared" si="12"/>
        <v>2241.0971187368914</v>
      </c>
      <c r="G26" s="155">
        <f t="shared" si="12"/>
        <v>2751.0772985802801</v>
      </c>
      <c r="H26" s="33"/>
      <c r="I26" s="33"/>
      <c r="J26" s="33"/>
      <c r="K26" s="33"/>
      <c r="L26" s="33"/>
    </row>
    <row r="27" spans="1:15" ht="16" thickTop="1">
      <c r="A27" s="33"/>
      <c r="B27" s="151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5" ht="15.5">
      <c r="A28" s="33"/>
      <c r="B28" s="222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5" ht="15.5">
      <c r="A29" s="35" t="s">
        <v>754</v>
      </c>
      <c r="B29" s="35"/>
      <c r="C29" s="35"/>
      <c r="D29" s="35"/>
      <c r="E29" s="33"/>
      <c r="F29" s="33"/>
      <c r="G29" s="33"/>
      <c r="H29" s="33"/>
      <c r="I29" s="33"/>
      <c r="J29" s="33"/>
      <c r="K29" s="33"/>
      <c r="L29" s="33"/>
    </row>
    <row r="30" spans="1:15" ht="15.5">
      <c r="A30" s="35"/>
      <c r="B30" s="112">
        <v>2022</v>
      </c>
      <c r="C30" s="35">
        <v>2023</v>
      </c>
      <c r="D30" s="112">
        <v>2024</v>
      </c>
      <c r="E30" s="35">
        <v>2025</v>
      </c>
      <c r="F30" s="112">
        <v>2026</v>
      </c>
      <c r="G30" s="35">
        <v>2027</v>
      </c>
      <c r="H30" s="33"/>
      <c r="I30" s="33"/>
      <c r="J30" s="33"/>
      <c r="K30" s="33"/>
      <c r="L30" s="33"/>
    </row>
    <row r="31" spans="1:15" ht="15.5">
      <c r="A31" s="35" t="s">
        <v>755</v>
      </c>
      <c r="B31" s="210" t="s">
        <v>406</v>
      </c>
      <c r="C31" s="221" t="s">
        <v>406</v>
      </c>
      <c r="D31" s="221" t="s">
        <v>406</v>
      </c>
      <c r="E31" s="221" t="s">
        <v>406</v>
      </c>
      <c r="F31" s="221" t="s">
        <v>406</v>
      </c>
      <c r="G31" s="221" t="s">
        <v>406</v>
      </c>
      <c r="H31" s="33"/>
      <c r="J31" s="35" t="s">
        <v>756</v>
      </c>
      <c r="K31" s="35"/>
      <c r="L31" s="33"/>
    </row>
    <row r="32" spans="1:15" ht="15.5">
      <c r="A32" s="35" t="s">
        <v>757</v>
      </c>
      <c r="B32" s="223"/>
      <c r="F32" s="33"/>
      <c r="G32" s="33"/>
      <c r="H32" s="33"/>
      <c r="J32" s="35"/>
      <c r="K32" s="35"/>
      <c r="L32" s="33"/>
    </row>
    <row r="33" spans="1:12" ht="15.5">
      <c r="A33" s="33" t="s">
        <v>30</v>
      </c>
      <c r="B33" s="224">
        <v>4000</v>
      </c>
      <c r="C33" s="231">
        <f>(1+$K33)*B33</f>
        <v>4200</v>
      </c>
      <c r="D33" s="231">
        <f t="shared" ref="D33:G33" si="13">(1+$K33)*C33</f>
        <v>4410</v>
      </c>
      <c r="E33" s="231">
        <f t="shared" si="13"/>
        <v>4630.5</v>
      </c>
      <c r="F33" s="231">
        <f t="shared" si="13"/>
        <v>4862.0250000000005</v>
      </c>
      <c r="G33" s="231">
        <f t="shared" si="13"/>
        <v>5105.1262500000012</v>
      </c>
      <c r="H33" s="33"/>
      <c r="J33" s="33"/>
      <c r="K33" s="33">
        <v>0.05</v>
      </c>
      <c r="L33" s="33"/>
    </row>
    <row r="34" spans="1:12" ht="15.5">
      <c r="A34" s="33"/>
      <c r="B34" s="224"/>
      <c r="C34" s="231"/>
      <c r="D34" s="231"/>
      <c r="E34" s="231"/>
      <c r="F34" s="231"/>
      <c r="G34" s="231"/>
      <c r="H34" s="33"/>
      <c r="J34" s="33"/>
      <c r="K34" s="33"/>
      <c r="L34" s="33"/>
    </row>
    <row r="35" spans="1:12" ht="15.5">
      <c r="A35" s="35" t="s">
        <v>31</v>
      </c>
      <c r="B35" s="223"/>
      <c r="C35" s="231"/>
      <c r="D35" s="231"/>
      <c r="E35" s="231"/>
      <c r="F35" s="231"/>
      <c r="G35" s="231"/>
      <c r="H35" s="33"/>
      <c r="J35" s="35"/>
      <c r="K35" s="35"/>
      <c r="L35" s="33"/>
    </row>
    <row r="36" spans="1:12" ht="15.5">
      <c r="A36" s="33" t="s">
        <v>32</v>
      </c>
      <c r="B36" s="224">
        <v>310</v>
      </c>
      <c r="C36" s="231">
        <f t="shared" ref="C36:G36" si="14">(1+$K36)*B36</f>
        <v>341</v>
      </c>
      <c r="D36" s="231">
        <f t="shared" si="14"/>
        <v>375.1</v>
      </c>
      <c r="E36" s="231">
        <f t="shared" si="14"/>
        <v>412.61000000000007</v>
      </c>
      <c r="F36" s="231">
        <f t="shared" si="14"/>
        <v>453.87100000000009</v>
      </c>
      <c r="G36" s="231">
        <f t="shared" si="14"/>
        <v>499.25810000000013</v>
      </c>
      <c r="H36" s="33"/>
      <c r="J36" s="33"/>
      <c r="K36" s="33">
        <v>0.1</v>
      </c>
      <c r="L36" s="33"/>
    </row>
    <row r="37" spans="1:12" ht="15.5">
      <c r="A37" s="33" t="s">
        <v>96</v>
      </c>
      <c r="B37" s="224">
        <v>450</v>
      </c>
      <c r="C37" s="231">
        <f t="shared" ref="C37:G37" si="15">(1+$K37)*B37</f>
        <v>495.00000000000006</v>
      </c>
      <c r="D37" s="231">
        <f t="shared" si="15"/>
        <v>544.50000000000011</v>
      </c>
      <c r="E37" s="231">
        <f t="shared" si="15"/>
        <v>598.95000000000016</v>
      </c>
      <c r="F37" s="231">
        <f t="shared" si="15"/>
        <v>658.84500000000025</v>
      </c>
      <c r="G37" s="231">
        <f t="shared" si="15"/>
        <v>724.72950000000037</v>
      </c>
      <c r="H37" s="33"/>
      <c r="J37" s="33"/>
      <c r="K37" s="33">
        <v>0.1</v>
      </c>
      <c r="L37" s="33"/>
    </row>
    <row r="38" spans="1:12" ht="15.5">
      <c r="A38" s="33" t="s">
        <v>758</v>
      </c>
      <c r="B38" s="224">
        <v>120</v>
      </c>
      <c r="C38" s="231">
        <f t="shared" ref="C38:G38" si="16">(1+$K38)*B38</f>
        <v>126</v>
      </c>
      <c r="D38" s="231">
        <f t="shared" si="16"/>
        <v>132.30000000000001</v>
      </c>
      <c r="E38" s="231">
        <f t="shared" si="16"/>
        <v>138.91500000000002</v>
      </c>
      <c r="F38" s="231">
        <f t="shared" si="16"/>
        <v>145.86075000000002</v>
      </c>
      <c r="G38" s="231">
        <f t="shared" si="16"/>
        <v>153.15378750000002</v>
      </c>
      <c r="H38" s="33"/>
      <c r="J38" s="33"/>
      <c r="K38" s="33">
        <v>0.05</v>
      </c>
      <c r="L38" s="33"/>
    </row>
    <row r="39" spans="1:12" ht="15.5">
      <c r="A39" s="35" t="s">
        <v>98</v>
      </c>
      <c r="B39" s="223">
        <f>SUM(B36:B38)</f>
        <v>880</v>
      </c>
      <c r="C39" s="223">
        <f t="shared" ref="C39:G39" si="17">SUM(C36:C38)</f>
        <v>962</v>
      </c>
      <c r="D39" s="223">
        <f t="shared" si="17"/>
        <v>1051.9000000000001</v>
      </c>
      <c r="E39" s="223">
        <f t="shared" si="17"/>
        <v>1150.4750000000001</v>
      </c>
      <c r="F39" s="223">
        <f t="shared" si="17"/>
        <v>1258.5767500000004</v>
      </c>
      <c r="G39" s="223">
        <f t="shared" si="17"/>
        <v>1377.1413875000003</v>
      </c>
      <c r="H39" s="33"/>
      <c r="J39" s="33"/>
      <c r="K39" s="33"/>
      <c r="L39" s="33"/>
    </row>
    <row r="40" spans="1:12" ht="16" thickBot="1">
      <c r="A40" s="35" t="s">
        <v>34</v>
      </c>
      <c r="B40" s="229">
        <f>B33+B39</f>
        <v>4880</v>
      </c>
      <c r="C40" s="229">
        <f t="shared" ref="C40:G40" si="18">C33+C39</f>
        <v>5162</v>
      </c>
      <c r="D40" s="229">
        <f t="shared" si="18"/>
        <v>5461.9</v>
      </c>
      <c r="E40" s="229">
        <f t="shared" si="18"/>
        <v>5780.9750000000004</v>
      </c>
      <c r="F40" s="229">
        <f t="shared" si="18"/>
        <v>6120.6017500000007</v>
      </c>
      <c r="G40" s="229">
        <f t="shared" si="18"/>
        <v>6482.267637500001</v>
      </c>
      <c r="H40" s="33"/>
      <c r="J40" s="33"/>
      <c r="K40" s="33"/>
      <c r="L40" s="33"/>
    </row>
    <row r="41" spans="1:12" ht="16" thickTop="1">
      <c r="A41" s="33"/>
      <c r="B41" s="224"/>
      <c r="F41" s="33"/>
      <c r="G41" s="33"/>
      <c r="H41" s="33"/>
      <c r="J41" s="33"/>
      <c r="K41" s="33"/>
      <c r="L41" s="33"/>
    </row>
    <row r="42" spans="1:12" ht="15.5">
      <c r="A42" s="35" t="s">
        <v>35</v>
      </c>
      <c r="B42" s="223"/>
      <c r="F42" s="33"/>
      <c r="G42" s="33"/>
      <c r="H42" s="33"/>
      <c r="J42" s="35"/>
      <c r="K42" s="35"/>
      <c r="L42" s="33"/>
    </row>
    <row r="43" spans="1:12" ht="15.5">
      <c r="A43" s="35" t="s">
        <v>103</v>
      </c>
      <c r="B43" s="224"/>
      <c r="F43" s="33"/>
      <c r="G43" s="33"/>
      <c r="H43" s="33"/>
      <c r="J43" s="33"/>
      <c r="K43" s="33"/>
      <c r="L43" s="33"/>
    </row>
    <row r="44" spans="1:12" ht="15.5">
      <c r="A44" s="33" t="s">
        <v>759</v>
      </c>
      <c r="B44" s="224">
        <v>1000</v>
      </c>
      <c r="C44" s="224">
        <v>1000</v>
      </c>
      <c r="D44" s="224">
        <v>1000</v>
      </c>
      <c r="E44" s="224">
        <v>1500</v>
      </c>
      <c r="F44" s="224">
        <v>1500</v>
      </c>
      <c r="G44" s="224">
        <v>1500</v>
      </c>
      <c r="H44" s="33"/>
      <c r="J44" s="33"/>
      <c r="K44" s="33"/>
      <c r="L44" s="33"/>
    </row>
    <row r="45" spans="1:12" ht="15.5">
      <c r="A45" s="33" t="s">
        <v>428</v>
      </c>
      <c r="B45" s="224">
        <v>500</v>
      </c>
      <c r="C45" s="224">
        <v>500</v>
      </c>
      <c r="D45" s="224">
        <v>500</v>
      </c>
      <c r="E45" s="224">
        <v>600</v>
      </c>
      <c r="F45" s="224">
        <v>600</v>
      </c>
      <c r="G45" s="224">
        <v>600</v>
      </c>
      <c r="H45" s="33"/>
      <c r="J45" s="33"/>
      <c r="K45" s="33"/>
      <c r="L45" s="33"/>
    </row>
    <row r="46" spans="1:12" ht="15.5">
      <c r="A46" s="33" t="s">
        <v>429</v>
      </c>
      <c r="B46" s="224">
        <f>B26</f>
        <v>800</v>
      </c>
      <c r="C46" s="224">
        <f t="shared" ref="C46:G46" si="19">C26</f>
        <v>1085.9868421052633</v>
      </c>
      <c r="D46" s="224">
        <f t="shared" si="19"/>
        <v>1415.0647680055408</v>
      </c>
      <c r="E46" s="224">
        <f t="shared" si="19"/>
        <v>1792.5906037004315</v>
      </c>
      <c r="F46" s="224">
        <f t="shared" si="19"/>
        <v>2241.0971187368914</v>
      </c>
      <c r="G46" s="224">
        <f t="shared" si="19"/>
        <v>2751.0772985802801</v>
      </c>
      <c r="H46" s="33"/>
      <c r="J46" s="33"/>
      <c r="K46" s="33"/>
      <c r="L46" s="44"/>
    </row>
    <row r="47" spans="1:12" ht="15.5">
      <c r="A47" s="35" t="s">
        <v>390</v>
      </c>
      <c r="B47" s="223">
        <f>SUM(B44:B46)</f>
        <v>2300</v>
      </c>
      <c r="C47" s="223">
        <f t="shared" ref="C47:G47" si="20">SUM(C44:C46)</f>
        <v>2585.9868421052633</v>
      </c>
      <c r="D47" s="223">
        <f t="shared" si="20"/>
        <v>2915.0647680055408</v>
      </c>
      <c r="E47" s="223">
        <f t="shared" si="20"/>
        <v>3892.5906037004315</v>
      </c>
      <c r="F47" s="223">
        <f t="shared" si="20"/>
        <v>4341.0971187368914</v>
      </c>
      <c r="G47" s="223">
        <f t="shared" si="20"/>
        <v>4851.0772985802796</v>
      </c>
      <c r="H47" s="33"/>
      <c r="J47" s="33"/>
      <c r="K47" s="33"/>
      <c r="L47" s="33"/>
    </row>
    <row r="48" spans="1:12" ht="15.5">
      <c r="A48" s="35" t="s">
        <v>760</v>
      </c>
      <c r="B48" s="223"/>
      <c r="F48" s="33"/>
      <c r="G48" s="33"/>
      <c r="H48" s="33"/>
      <c r="J48" s="33"/>
      <c r="K48" s="33"/>
      <c r="L48" s="33"/>
    </row>
    <row r="49" spans="1:12" ht="15.5">
      <c r="A49" s="33" t="s">
        <v>761</v>
      </c>
      <c r="B49" s="224">
        <f>B40-B47-B53</f>
        <v>2000</v>
      </c>
      <c r="C49" s="224">
        <f t="shared" ref="C49:G49" si="21">C40-C47-C53</f>
        <v>1938.0131578947367</v>
      </c>
      <c r="D49" s="224">
        <f t="shared" si="21"/>
        <v>1845.0352319944586</v>
      </c>
      <c r="E49" s="224">
        <f t="shared" si="21"/>
        <v>1116.4043962995688</v>
      </c>
      <c r="F49" s="224">
        <f t="shared" si="21"/>
        <v>930.32663126310911</v>
      </c>
      <c r="G49" s="224">
        <f t="shared" si="21"/>
        <v>697.09453891972112</v>
      </c>
      <c r="H49" s="33"/>
      <c r="J49" s="33"/>
      <c r="K49" s="33"/>
      <c r="L49" s="33"/>
    </row>
    <row r="50" spans="1:12" ht="15.5">
      <c r="A50" s="33"/>
      <c r="B50" s="224"/>
      <c r="F50" s="33"/>
      <c r="G50" s="33"/>
      <c r="H50" s="33"/>
      <c r="J50" s="33"/>
      <c r="K50" s="33"/>
      <c r="L50" s="33"/>
    </row>
    <row r="51" spans="1:12" ht="15.5">
      <c r="A51" s="35" t="s">
        <v>40</v>
      </c>
      <c r="B51" s="223"/>
      <c r="F51" s="33"/>
      <c r="G51" s="33"/>
      <c r="H51" s="33"/>
      <c r="J51" s="35"/>
      <c r="K51" s="35"/>
      <c r="L51" s="33"/>
    </row>
    <row r="52" spans="1:12" ht="15.5">
      <c r="A52" s="33" t="s">
        <v>41</v>
      </c>
      <c r="B52" s="224">
        <v>580</v>
      </c>
      <c r="C52" s="231">
        <f>(1+$K52)*B52</f>
        <v>638</v>
      </c>
      <c r="D52" s="231">
        <f t="shared" ref="D52:G52" si="22">(1+$K52)*C52</f>
        <v>701.80000000000007</v>
      </c>
      <c r="E52" s="231">
        <f t="shared" si="22"/>
        <v>771.98000000000013</v>
      </c>
      <c r="F52" s="231">
        <f t="shared" si="22"/>
        <v>849.17800000000022</v>
      </c>
      <c r="G52" s="231">
        <f t="shared" si="22"/>
        <v>934.09580000000028</v>
      </c>
      <c r="H52" s="33"/>
      <c r="J52" s="33"/>
      <c r="K52" s="33">
        <v>0.1</v>
      </c>
      <c r="L52" s="33"/>
    </row>
    <row r="53" spans="1:12" ht="15.5">
      <c r="A53" s="35" t="s">
        <v>801</v>
      </c>
      <c r="B53" s="224">
        <f>SUM(B52)</f>
        <v>580</v>
      </c>
      <c r="C53" s="224">
        <f t="shared" ref="C53:G53" si="23">SUM(C52)</f>
        <v>638</v>
      </c>
      <c r="D53" s="224">
        <f t="shared" si="23"/>
        <v>701.80000000000007</v>
      </c>
      <c r="E53" s="224">
        <f t="shared" si="23"/>
        <v>771.98000000000013</v>
      </c>
      <c r="F53" s="224">
        <f t="shared" si="23"/>
        <v>849.17800000000022</v>
      </c>
      <c r="G53" s="224">
        <f t="shared" si="23"/>
        <v>934.09580000000028</v>
      </c>
      <c r="H53" s="33"/>
      <c r="J53" s="33"/>
      <c r="K53" s="33"/>
      <c r="L53" s="33"/>
    </row>
    <row r="54" spans="1:12" ht="15.5">
      <c r="B54" s="223"/>
      <c r="C54" s="223"/>
      <c r="D54" s="223"/>
      <c r="E54" s="223"/>
      <c r="F54" s="223"/>
      <c r="G54" s="223"/>
      <c r="H54" s="33"/>
      <c r="J54" s="33"/>
      <c r="K54" s="33"/>
      <c r="L54" s="33"/>
    </row>
    <row r="55" spans="1:12" ht="16" thickBot="1">
      <c r="A55" s="35" t="s">
        <v>44</v>
      </c>
      <c r="B55" s="229">
        <f>B47+B49+B53</f>
        <v>4880</v>
      </c>
      <c r="C55" s="229">
        <f t="shared" ref="C55:G55" si="24">C47+C49+C53</f>
        <v>5162</v>
      </c>
      <c r="D55" s="229">
        <f t="shared" si="24"/>
        <v>5461.9</v>
      </c>
      <c r="E55" s="229">
        <f t="shared" si="24"/>
        <v>5780.9750000000013</v>
      </c>
      <c r="F55" s="229">
        <f t="shared" si="24"/>
        <v>6120.6017500000007</v>
      </c>
      <c r="G55" s="229">
        <f t="shared" si="24"/>
        <v>6482.267637500001</v>
      </c>
      <c r="H55" s="33"/>
      <c r="J55" s="33"/>
      <c r="K55" s="33"/>
      <c r="L55" s="33"/>
    </row>
    <row r="56" spans="1:12" ht="16" thickTop="1">
      <c r="A56" s="35"/>
      <c r="B56" s="223"/>
      <c r="C56" s="4"/>
      <c r="D56" s="4"/>
      <c r="E56" s="4"/>
      <c r="F56" s="35"/>
      <c r="G56" s="35"/>
      <c r="H56" s="33"/>
      <c r="J56" s="33"/>
      <c r="K56" s="33"/>
      <c r="L56" s="33"/>
    </row>
    <row r="57" spans="1:12" ht="15.5">
      <c r="A57" s="35" t="s">
        <v>739</v>
      </c>
      <c r="B57" s="223">
        <f>B40-B55</f>
        <v>0</v>
      </c>
      <c r="C57" s="233">
        <f t="shared" ref="C57:G57" si="25">C40-C55</f>
        <v>0</v>
      </c>
      <c r="D57" s="233">
        <f t="shared" si="25"/>
        <v>0</v>
      </c>
      <c r="E57" s="233">
        <f t="shared" si="25"/>
        <v>0</v>
      </c>
      <c r="F57" s="233">
        <f t="shared" si="25"/>
        <v>0</v>
      </c>
      <c r="G57" s="233">
        <f t="shared" si="25"/>
        <v>0</v>
      </c>
      <c r="H57" s="223"/>
      <c r="J57" s="33"/>
      <c r="K57" s="33"/>
      <c r="L57" s="33"/>
    </row>
    <row r="58" spans="1:12" ht="15.5">
      <c r="A58" s="33"/>
      <c r="B58" s="224"/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spans="1:12" ht="15.5">
      <c r="A59" s="35" t="s">
        <v>45</v>
      </c>
      <c r="B59" s="223"/>
      <c r="C59" s="35"/>
      <c r="D59" s="35"/>
      <c r="E59" s="35"/>
      <c r="F59" s="35"/>
      <c r="G59" s="35"/>
      <c r="H59" s="35"/>
      <c r="I59" s="35"/>
      <c r="J59" s="33"/>
      <c r="K59" s="33"/>
      <c r="L59" s="33"/>
    </row>
    <row r="60" spans="1:12" ht="15.5">
      <c r="A60" s="33" t="s">
        <v>762</v>
      </c>
      <c r="B60" s="33"/>
      <c r="C60" s="33"/>
      <c r="D60" s="33"/>
      <c r="E60" s="33"/>
      <c r="F60" s="33"/>
      <c r="G60" s="33" t="s">
        <v>802</v>
      </c>
      <c r="H60" s="33"/>
      <c r="I60" s="33"/>
      <c r="J60" s="33"/>
      <c r="K60" s="33"/>
      <c r="L60" s="33"/>
    </row>
    <row r="61" spans="1:12" ht="15.5">
      <c r="A61" s="33" t="s">
        <v>763</v>
      </c>
      <c r="B61" s="33"/>
      <c r="C61" s="33"/>
      <c r="D61" s="33"/>
      <c r="E61" s="33"/>
      <c r="F61" s="33"/>
      <c r="G61" s="33" t="s">
        <v>803</v>
      </c>
      <c r="H61" s="33"/>
      <c r="I61" s="33"/>
      <c r="J61" s="33"/>
      <c r="K61" s="33"/>
      <c r="L61" s="33"/>
    </row>
    <row r="62" spans="1:12" ht="15.5">
      <c r="A62" s="33" t="s">
        <v>764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12" ht="15.5">
      <c r="A63" s="33" t="s">
        <v>765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1:12" ht="15.5">
      <c r="A64" s="33" t="s">
        <v>766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1:12" ht="15.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1:12" ht="15.5">
      <c r="A66" s="35" t="s">
        <v>47</v>
      </c>
      <c r="B66" s="35"/>
      <c r="C66" s="35"/>
      <c r="D66" s="35"/>
      <c r="E66" s="35"/>
      <c r="F66" s="35"/>
      <c r="G66" s="35"/>
      <c r="H66" s="35"/>
      <c r="I66" s="35"/>
      <c r="J66" s="33"/>
      <c r="K66" s="33"/>
      <c r="L66" s="33"/>
    </row>
    <row r="67" spans="1:12" ht="15.5">
      <c r="A67" s="33" t="s">
        <v>767</v>
      </c>
      <c r="B67" s="33"/>
      <c r="C67" s="33"/>
      <c r="D67" s="33"/>
      <c r="E67" s="33"/>
      <c r="F67" s="33"/>
      <c r="G67" s="33" t="s">
        <v>768</v>
      </c>
      <c r="H67" s="33"/>
      <c r="I67" s="33" t="s">
        <v>769</v>
      </c>
      <c r="J67" s="33"/>
      <c r="K67" s="33"/>
      <c r="L67" s="33"/>
    </row>
    <row r="68" spans="1:12" ht="15.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 ht="15.5">
      <c r="A69" s="33" t="s">
        <v>770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ht="15.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ht="15.5">
      <c r="A71" s="33" t="s">
        <v>771</v>
      </c>
      <c r="B71" s="33"/>
      <c r="C71" s="33"/>
      <c r="D71" s="33"/>
      <c r="E71" s="33"/>
      <c r="F71" s="33"/>
      <c r="G71" s="33"/>
      <c r="H71" s="33"/>
      <c r="I71" s="33"/>
      <c r="J71" s="33" t="s">
        <v>324</v>
      </c>
      <c r="K71" s="33"/>
      <c r="L71" s="33"/>
    </row>
    <row r="72" spans="1:12" ht="15.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ht="15.5">
      <c r="A73" s="33" t="s">
        <v>772</v>
      </c>
      <c r="B73" s="33"/>
      <c r="C73" s="33"/>
      <c r="D73" s="33"/>
      <c r="E73" s="33"/>
      <c r="F73" s="33"/>
      <c r="G73" s="33"/>
      <c r="H73" s="33"/>
      <c r="I73" s="33"/>
      <c r="J73" s="33" t="s">
        <v>324</v>
      </c>
      <c r="K73" s="33"/>
      <c r="L73" s="33"/>
    </row>
    <row r="74" spans="1:12" ht="15.5">
      <c r="A74" s="33"/>
      <c r="B74" s="33"/>
      <c r="C74" s="224"/>
      <c r="D74" s="224"/>
      <c r="E74" s="33"/>
      <c r="F74" s="33"/>
      <c r="G74" s="33"/>
      <c r="H74" s="33"/>
      <c r="I74" s="33"/>
      <c r="J74" s="33"/>
      <c r="K74" s="33"/>
      <c r="L74" s="33"/>
    </row>
    <row r="75" spans="1:12" ht="15.5">
      <c r="A75" s="33" t="s">
        <v>773</v>
      </c>
      <c r="B75" s="33"/>
      <c r="C75" s="224"/>
      <c r="D75" s="224"/>
      <c r="E75" s="33"/>
      <c r="F75" s="33"/>
      <c r="G75" s="33"/>
      <c r="H75" s="33"/>
      <c r="I75" s="33"/>
      <c r="J75" s="33" t="s">
        <v>324</v>
      </c>
      <c r="K75" s="33"/>
      <c r="L75" s="33"/>
    </row>
    <row r="76" spans="1:12" ht="15.5">
      <c r="A76" s="33"/>
      <c r="B76" s="33"/>
      <c r="C76" s="224"/>
      <c r="D76" s="224"/>
      <c r="E76" s="33"/>
      <c r="F76" s="33"/>
      <c r="G76" s="33"/>
      <c r="H76" s="33"/>
      <c r="I76" s="33"/>
      <c r="J76" s="33"/>
      <c r="K76" s="33"/>
      <c r="L76" s="33"/>
    </row>
    <row r="77" spans="1:12" ht="15.5">
      <c r="A77" s="33" t="s">
        <v>774</v>
      </c>
      <c r="B77" s="33"/>
      <c r="C77" s="224"/>
      <c r="D77" s="224"/>
      <c r="E77" s="33"/>
      <c r="F77" s="33"/>
      <c r="G77" s="33"/>
      <c r="H77" s="33"/>
      <c r="I77" s="33"/>
      <c r="J77" s="33" t="s">
        <v>324</v>
      </c>
      <c r="K77" s="33"/>
      <c r="L77" s="33"/>
    </row>
    <row r="78" spans="1:12" ht="15.5">
      <c r="A78" s="33"/>
      <c r="B78" s="33"/>
      <c r="C78" s="91"/>
      <c r="D78" s="91"/>
      <c r="E78" s="33"/>
      <c r="F78" s="33"/>
      <c r="G78" s="33"/>
      <c r="H78" s="33"/>
      <c r="I78" s="33"/>
      <c r="J78" s="33"/>
      <c r="K78" s="33"/>
      <c r="L78" s="33"/>
    </row>
    <row r="79" spans="1:12" ht="15.5">
      <c r="A79" s="33" t="s">
        <v>775</v>
      </c>
      <c r="B79" s="33"/>
      <c r="C79" s="91"/>
      <c r="D79" s="91"/>
      <c r="E79" s="33"/>
      <c r="F79" s="33"/>
      <c r="G79" s="33"/>
      <c r="H79" s="33"/>
      <c r="I79" s="33"/>
      <c r="J79" s="33" t="s">
        <v>324</v>
      </c>
      <c r="K79" s="33"/>
      <c r="L79" s="33"/>
    </row>
    <row r="80" spans="1:12" ht="15.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1:17" ht="15.5">
      <c r="A81" s="33" t="s">
        <v>776</v>
      </c>
      <c r="B81" s="33"/>
      <c r="C81" s="33"/>
      <c r="D81" s="33"/>
      <c r="E81" s="33"/>
      <c r="F81" s="33"/>
      <c r="G81" s="33"/>
      <c r="H81" s="33"/>
      <c r="I81" s="33"/>
      <c r="J81" s="33" t="s">
        <v>324</v>
      </c>
      <c r="K81" s="33"/>
      <c r="L81" s="33"/>
    </row>
    <row r="82" spans="1:17" ht="15.5">
      <c r="A82" s="33"/>
      <c r="B82" s="33"/>
      <c r="C82" s="33"/>
      <c r="D82" s="33"/>
      <c r="E82" s="33"/>
      <c r="F82" s="33"/>
      <c r="G82" s="33"/>
      <c r="H82" s="35" t="s">
        <v>777</v>
      </c>
      <c r="I82" s="33"/>
      <c r="J82" s="33"/>
      <c r="K82" s="33"/>
      <c r="L82" s="33"/>
    </row>
    <row r="83" spans="1:17" ht="15.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5" spans="1:17">
      <c r="A85" s="234" t="s">
        <v>680</v>
      </c>
      <c r="B85" s="234">
        <v>2022</v>
      </c>
      <c r="C85" s="234">
        <v>2023</v>
      </c>
      <c r="D85" s="234">
        <v>2024</v>
      </c>
      <c r="E85" s="234">
        <v>2025</v>
      </c>
      <c r="F85" s="234">
        <v>2026</v>
      </c>
      <c r="G85" s="234">
        <v>2027</v>
      </c>
      <c r="K85" s="234" t="s">
        <v>680</v>
      </c>
      <c r="L85" s="234">
        <v>2022</v>
      </c>
      <c r="M85" s="234">
        <v>2023</v>
      </c>
      <c r="N85" s="234">
        <v>2024</v>
      </c>
      <c r="O85" s="234">
        <v>2025</v>
      </c>
      <c r="P85" s="234">
        <v>2026</v>
      </c>
      <c r="Q85" s="234">
        <v>2027</v>
      </c>
    </row>
    <row r="86" spans="1:17">
      <c r="A86" s="234" t="s">
        <v>20</v>
      </c>
      <c r="B86" s="235">
        <f>B14</f>
        <v>3000</v>
      </c>
      <c r="C86" s="235">
        <f>C14</f>
        <v>3300.0000000000005</v>
      </c>
      <c r="D86" s="235">
        <f>D14</f>
        <v>3630.0000000000009</v>
      </c>
      <c r="E86" s="235">
        <f>E14</f>
        <v>3993.0000000000014</v>
      </c>
      <c r="F86" s="235">
        <f>F14</f>
        <v>4392.300000000002</v>
      </c>
      <c r="G86" s="235">
        <f>G14</f>
        <v>4831.5300000000025</v>
      </c>
      <c r="K86" t="str">
        <f>A86</f>
        <v>Revenue</v>
      </c>
      <c r="L86">
        <f t="shared" ref="L86:Q86" si="26">B86</f>
        <v>3000</v>
      </c>
      <c r="M86">
        <f t="shared" si="26"/>
        <v>3300.0000000000005</v>
      </c>
      <c r="N86">
        <f t="shared" si="26"/>
        <v>3630.0000000000009</v>
      </c>
      <c r="O86">
        <f t="shared" si="26"/>
        <v>3993.0000000000014</v>
      </c>
      <c r="P86">
        <f t="shared" si="26"/>
        <v>4392.300000000002</v>
      </c>
      <c r="Q86">
        <f t="shared" si="26"/>
        <v>4831.5300000000025</v>
      </c>
    </row>
    <row r="87" spans="1:17">
      <c r="K87" t="str">
        <f>A108</f>
        <v>Profit for the year</v>
      </c>
      <c r="L87">
        <f t="shared" ref="L87:Q87" si="27">B108</f>
        <v>380</v>
      </c>
      <c r="M87">
        <f t="shared" si="27"/>
        <v>388.12500000000034</v>
      </c>
      <c r="N87">
        <f t="shared" si="27"/>
        <v>446.6057565789481</v>
      </c>
      <c r="O87">
        <f t="shared" si="27"/>
        <v>512.35649130020875</v>
      </c>
      <c r="P87">
        <f t="shared" si="27"/>
        <v>608.68741326376721</v>
      </c>
      <c r="Q87">
        <f t="shared" si="27"/>
        <v>692.11595835888477</v>
      </c>
    </row>
    <row r="88" spans="1:17">
      <c r="K88" t="str">
        <f>A132</f>
        <v>Total assets</v>
      </c>
      <c r="L88">
        <f t="shared" ref="L88:Q88" si="28">B132</f>
        <v>4880</v>
      </c>
      <c r="M88">
        <f t="shared" si="28"/>
        <v>5162</v>
      </c>
      <c r="N88">
        <f t="shared" si="28"/>
        <v>5461.9</v>
      </c>
      <c r="O88">
        <f t="shared" si="28"/>
        <v>5780.9750000000004</v>
      </c>
      <c r="P88">
        <f t="shared" si="28"/>
        <v>6120.6017500000007</v>
      </c>
      <c r="Q88">
        <f t="shared" si="28"/>
        <v>6482.267637500001</v>
      </c>
    </row>
    <row r="89" spans="1:17">
      <c r="K89" t="str">
        <f>A156</f>
        <v>Total equity</v>
      </c>
      <c r="L89">
        <f t="shared" ref="L89:Q89" si="29">B156</f>
        <v>2300</v>
      </c>
      <c r="M89">
        <f t="shared" si="29"/>
        <v>2585.9868421052633</v>
      </c>
      <c r="N89">
        <f t="shared" si="29"/>
        <v>2915.0647680055408</v>
      </c>
      <c r="O89">
        <f t="shared" si="29"/>
        <v>3892.5906037004315</v>
      </c>
      <c r="P89">
        <f t="shared" si="29"/>
        <v>4341.0971187368914</v>
      </c>
      <c r="Q89">
        <f t="shared" si="29"/>
        <v>4851.0772985802796</v>
      </c>
    </row>
    <row r="90" spans="1:17">
      <c r="K90" t="str">
        <f>A177</f>
        <v>Net profit margin.</v>
      </c>
      <c r="L90">
        <f t="shared" ref="L90:Q90" si="30">B177</f>
        <v>0.12666666666666668</v>
      </c>
      <c r="M90">
        <f t="shared" si="30"/>
        <v>0.11761363636363645</v>
      </c>
      <c r="N90">
        <f t="shared" si="30"/>
        <v>0.12303188886472397</v>
      </c>
      <c r="O90">
        <f t="shared" si="30"/>
        <v>0.12831367175061573</v>
      </c>
      <c r="P90">
        <f t="shared" si="30"/>
        <v>0.13858056445683742</v>
      </c>
      <c r="Q90">
        <f t="shared" si="30"/>
        <v>0.1432498521915179</v>
      </c>
    </row>
    <row r="91" spans="1:17">
      <c r="K91" t="str">
        <f>A200</f>
        <v>Debt ratio.</v>
      </c>
      <c r="L91">
        <f t="shared" ref="L91:Q91" si="31">B200</f>
        <v>0.52868852459016391</v>
      </c>
      <c r="M91">
        <f t="shared" si="31"/>
        <v>0.49903393217643099</v>
      </c>
      <c r="N91">
        <f t="shared" si="31"/>
        <v>0.46629107673052583</v>
      </c>
      <c r="O91">
        <f t="shared" si="31"/>
        <v>0.32665500132755609</v>
      </c>
      <c r="P91">
        <f t="shared" si="31"/>
        <v>0.29074014352642846</v>
      </c>
      <c r="Q91">
        <f t="shared" si="31"/>
        <v>0.25163884463567415</v>
      </c>
    </row>
    <row r="107" spans="1:7">
      <c r="A107" s="234" t="s">
        <v>680</v>
      </c>
      <c r="B107" s="234">
        <v>2022</v>
      </c>
      <c r="C107" s="234">
        <v>2023</v>
      </c>
      <c r="D107" s="234">
        <v>2024</v>
      </c>
      <c r="E107" s="234">
        <v>2025</v>
      </c>
      <c r="F107" s="234">
        <v>2026</v>
      </c>
      <c r="G107" s="234">
        <v>2027</v>
      </c>
    </row>
    <row r="108" spans="1:7">
      <c r="A108" t="str">
        <f>A22</f>
        <v>Profit for the year</v>
      </c>
      <c r="B108">
        <f t="shared" ref="B108:G108" si="32">B22</f>
        <v>380</v>
      </c>
      <c r="C108">
        <f t="shared" si="32"/>
        <v>388.12500000000034</v>
      </c>
      <c r="D108">
        <f t="shared" si="32"/>
        <v>446.6057565789481</v>
      </c>
      <c r="E108">
        <f t="shared" si="32"/>
        <v>512.35649130020875</v>
      </c>
      <c r="F108">
        <f t="shared" si="32"/>
        <v>608.68741326376721</v>
      </c>
      <c r="G108">
        <f t="shared" si="32"/>
        <v>692.11595835888477</v>
      </c>
    </row>
    <row r="131" spans="1:7">
      <c r="A131" s="234" t="s">
        <v>680</v>
      </c>
      <c r="B131" s="234">
        <v>2022</v>
      </c>
      <c r="C131" s="234">
        <v>2023</v>
      </c>
      <c r="D131" s="234">
        <v>2024</v>
      </c>
      <c r="E131" s="234">
        <v>2025</v>
      </c>
      <c r="F131" s="234">
        <v>2026</v>
      </c>
      <c r="G131" s="234">
        <v>2027</v>
      </c>
    </row>
    <row r="132" spans="1:7">
      <c r="A132" t="str">
        <f>A40</f>
        <v>Total assets</v>
      </c>
      <c r="B132">
        <f t="shared" ref="B132:G132" si="33">B40</f>
        <v>4880</v>
      </c>
      <c r="C132">
        <f t="shared" si="33"/>
        <v>5162</v>
      </c>
      <c r="D132">
        <f t="shared" si="33"/>
        <v>5461.9</v>
      </c>
      <c r="E132">
        <f t="shared" si="33"/>
        <v>5780.9750000000004</v>
      </c>
      <c r="F132">
        <f t="shared" si="33"/>
        <v>6120.6017500000007</v>
      </c>
      <c r="G132">
        <f t="shared" si="33"/>
        <v>6482.267637500001</v>
      </c>
    </row>
    <row r="155" spans="1:7">
      <c r="A155" t="s">
        <v>680</v>
      </c>
      <c r="B155">
        <v>2022</v>
      </c>
      <c r="C155">
        <v>2023</v>
      </c>
      <c r="D155">
        <v>2024</v>
      </c>
      <c r="E155">
        <v>2025</v>
      </c>
      <c r="F155">
        <v>2026</v>
      </c>
      <c r="G155">
        <v>2027</v>
      </c>
    </row>
    <row r="156" spans="1:7">
      <c r="A156" t="str">
        <f>A47</f>
        <v>Total equity</v>
      </c>
      <c r="B156">
        <f t="shared" ref="B156:G156" si="34">B47</f>
        <v>2300</v>
      </c>
      <c r="C156">
        <f t="shared" si="34"/>
        <v>2585.9868421052633</v>
      </c>
      <c r="D156">
        <f t="shared" si="34"/>
        <v>2915.0647680055408</v>
      </c>
      <c r="E156">
        <f t="shared" si="34"/>
        <v>3892.5906037004315</v>
      </c>
      <c r="F156">
        <f t="shared" si="34"/>
        <v>4341.0971187368914</v>
      </c>
      <c r="G156">
        <f t="shared" si="34"/>
        <v>4851.0772985802796</v>
      </c>
    </row>
    <row r="176" spans="1:7">
      <c r="A176" t="s">
        <v>680</v>
      </c>
      <c r="B176">
        <v>2022</v>
      </c>
      <c r="C176">
        <v>2023</v>
      </c>
      <c r="D176">
        <v>2024</v>
      </c>
      <c r="E176">
        <v>2025</v>
      </c>
      <c r="F176">
        <v>2026</v>
      </c>
      <c r="G176">
        <v>2027</v>
      </c>
    </row>
    <row r="177" spans="1:7" ht="15.5">
      <c r="A177" s="33" t="s">
        <v>804</v>
      </c>
      <c r="B177" s="244">
        <f>B22/B14</f>
        <v>0.12666666666666668</v>
      </c>
      <c r="C177" s="244">
        <f t="shared" ref="C177:G177" si="35">C22/C14</f>
        <v>0.11761363636363645</v>
      </c>
      <c r="D177" s="244">
        <f t="shared" si="35"/>
        <v>0.12303188886472397</v>
      </c>
      <c r="E177" s="244">
        <f t="shared" si="35"/>
        <v>0.12831367175061573</v>
      </c>
      <c r="F177" s="244">
        <f t="shared" si="35"/>
        <v>0.13858056445683742</v>
      </c>
      <c r="G177" s="244">
        <f t="shared" si="35"/>
        <v>0.1432498521915179</v>
      </c>
    </row>
    <row r="199" spans="1:7">
      <c r="A199" t="s">
        <v>680</v>
      </c>
      <c r="B199">
        <v>2022</v>
      </c>
      <c r="C199">
        <v>2023</v>
      </c>
      <c r="D199">
        <v>2024</v>
      </c>
      <c r="E199">
        <v>2025</v>
      </c>
      <c r="F199">
        <v>2026</v>
      </c>
      <c r="G199">
        <v>2027</v>
      </c>
    </row>
    <row r="200" spans="1:7" ht="15.5">
      <c r="A200" s="33" t="s">
        <v>196</v>
      </c>
      <c r="B200">
        <f>(B49+B53)/B40</f>
        <v>0.52868852459016391</v>
      </c>
      <c r="C200">
        <f t="shared" ref="C200:G200" si="36">(C49+C53)/C40</f>
        <v>0.49903393217643099</v>
      </c>
      <c r="D200">
        <f t="shared" si="36"/>
        <v>0.46629107673052583</v>
      </c>
      <c r="E200">
        <f t="shared" si="36"/>
        <v>0.32665500132755609</v>
      </c>
      <c r="F200">
        <f t="shared" si="36"/>
        <v>0.29074014352642846</v>
      </c>
      <c r="G200">
        <f t="shared" si="36"/>
        <v>0.25163884463567415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66A6-07AF-403E-AE2C-23BE90F190A9}">
  <dimension ref="A1:K62"/>
  <sheetViews>
    <sheetView zoomScale="85" zoomScaleNormal="85" workbookViewId="0">
      <selection activeCell="B13" sqref="B13:K16"/>
    </sheetView>
  </sheetViews>
  <sheetFormatPr defaultRowHeight="14.5"/>
  <cols>
    <col min="1" max="1" width="6.453125" customWidth="1"/>
    <col min="10" max="10" width="29.1796875" customWidth="1"/>
    <col min="11" max="11" width="34" customWidth="1"/>
  </cols>
  <sheetData>
    <row r="1" spans="1:11" ht="18.5">
      <c r="F1" s="27" t="s">
        <v>137</v>
      </c>
      <c r="G1" s="28"/>
      <c r="H1" s="28"/>
      <c r="I1" s="28"/>
    </row>
    <row r="2" spans="1:11" ht="12" customHeight="1">
      <c r="E2" s="27"/>
    </row>
    <row r="3" spans="1:11" s="102" customFormat="1" ht="18.5">
      <c r="A3" s="100" t="s">
        <v>138</v>
      </c>
      <c r="B3" s="100"/>
      <c r="C3" s="100"/>
      <c r="D3" s="100"/>
      <c r="E3" s="100"/>
      <c r="F3" s="100"/>
      <c r="G3" s="100"/>
      <c r="H3" s="100"/>
      <c r="I3" s="101"/>
      <c r="J3" s="101"/>
      <c r="K3" s="101"/>
    </row>
    <row r="4" spans="1:11" ht="15" customHeight="1">
      <c r="A4" s="31"/>
      <c r="B4" s="32"/>
      <c r="C4" s="32"/>
      <c r="D4" s="31"/>
      <c r="E4" s="32"/>
      <c r="F4" s="32"/>
      <c r="G4" s="32"/>
      <c r="H4" s="32"/>
      <c r="I4" s="30"/>
      <c r="J4" s="30"/>
      <c r="K4" s="30"/>
    </row>
    <row r="5" spans="1:11" ht="21">
      <c r="A5" s="27" t="s">
        <v>139</v>
      </c>
      <c r="B5" s="29"/>
      <c r="C5" s="29"/>
      <c r="D5" s="27"/>
      <c r="E5" s="29"/>
      <c r="F5" s="32"/>
      <c r="G5" s="32"/>
      <c r="H5" s="32"/>
      <c r="I5" s="30"/>
      <c r="J5" s="30"/>
      <c r="K5" s="30"/>
    </row>
    <row r="6" spans="1:11" ht="15.5">
      <c r="A6" s="33" t="s">
        <v>140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15.75" customHeight="1">
      <c r="A7" s="33" t="s">
        <v>141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5.5">
      <c r="A8" s="33" t="s">
        <v>142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18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ht="15.5">
      <c r="A10" s="35" t="s">
        <v>143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15.5">
      <c r="A11" s="36" t="s">
        <v>144</v>
      </c>
      <c r="B11" s="33" t="s">
        <v>145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15.5">
      <c r="A12" s="34"/>
      <c r="B12" s="35" t="s">
        <v>67</v>
      </c>
      <c r="C12" s="34"/>
      <c r="D12" s="34"/>
      <c r="E12" s="34"/>
      <c r="F12" s="34"/>
      <c r="G12" s="34"/>
      <c r="H12" s="34"/>
      <c r="I12" s="34"/>
      <c r="J12" s="34"/>
      <c r="K12" s="34"/>
    </row>
    <row r="13" spans="1:11" ht="16.5" customHeight="1">
      <c r="A13" s="34"/>
      <c r="B13" s="236" t="s">
        <v>146</v>
      </c>
      <c r="C13" s="236"/>
      <c r="D13" s="236"/>
      <c r="E13" s="236"/>
      <c r="F13" s="236"/>
      <c r="G13" s="236"/>
      <c r="H13" s="236"/>
      <c r="I13" s="236"/>
      <c r="J13" s="236"/>
      <c r="K13" s="236"/>
    </row>
    <row r="14" spans="1:11" ht="19.5" customHeight="1">
      <c r="A14" s="34"/>
      <c r="B14" s="236" t="s">
        <v>147</v>
      </c>
      <c r="C14" s="236"/>
      <c r="D14" s="236"/>
      <c r="E14" s="236"/>
      <c r="F14" s="236"/>
      <c r="G14" s="236"/>
      <c r="H14" s="236"/>
      <c r="I14" s="236"/>
      <c r="J14" s="236"/>
      <c r="K14" s="34"/>
    </row>
    <row r="15" spans="1:11" ht="16.5" customHeight="1">
      <c r="A15" s="34"/>
      <c r="B15" s="103" t="s">
        <v>148</v>
      </c>
      <c r="C15" s="103"/>
      <c r="D15" s="103"/>
      <c r="E15" s="103"/>
      <c r="F15" s="103"/>
      <c r="G15" s="103"/>
      <c r="H15" s="103"/>
      <c r="I15" s="103"/>
      <c r="J15" s="103"/>
      <c r="K15" s="34"/>
    </row>
    <row r="16" spans="1:11" ht="18" customHeight="1">
      <c r="A16" s="34"/>
      <c r="B16" s="236" t="s">
        <v>149</v>
      </c>
      <c r="C16" s="236"/>
      <c r="D16" s="236"/>
      <c r="E16" s="236"/>
      <c r="F16" s="236"/>
      <c r="G16" s="236"/>
      <c r="H16" s="236"/>
      <c r="I16" s="236"/>
      <c r="J16" s="236"/>
      <c r="K16" s="34"/>
    </row>
    <row r="17" spans="1:11" ht="15.5">
      <c r="A17" s="34"/>
      <c r="B17" s="35" t="s">
        <v>150</v>
      </c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8" customHeight="1">
      <c r="A18" s="34"/>
      <c r="B18" s="236" t="s">
        <v>151</v>
      </c>
      <c r="C18" s="236"/>
      <c r="D18" s="236"/>
      <c r="E18" s="236"/>
      <c r="F18" s="236"/>
      <c r="G18" s="236"/>
      <c r="H18" s="236"/>
      <c r="I18" s="236"/>
      <c r="J18" s="236"/>
      <c r="K18" s="34"/>
    </row>
    <row r="19" spans="1:11" ht="18.75" customHeight="1">
      <c r="A19" s="34"/>
      <c r="B19" s="236" t="s">
        <v>152</v>
      </c>
      <c r="C19" s="236"/>
      <c r="D19" s="236"/>
      <c r="E19" s="236"/>
      <c r="F19" s="236"/>
      <c r="G19" s="236"/>
      <c r="H19" s="236"/>
      <c r="I19" s="236"/>
      <c r="J19" s="236"/>
      <c r="K19" s="34"/>
    </row>
    <row r="20" spans="1:11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1" ht="15.5">
      <c r="A21" s="34"/>
      <c r="B21" s="35" t="s">
        <v>103</v>
      </c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16.5" customHeight="1">
      <c r="A22" s="34"/>
      <c r="B22" s="103" t="s">
        <v>153</v>
      </c>
      <c r="C22" s="103"/>
      <c r="D22" s="103"/>
      <c r="E22" s="103"/>
      <c r="F22" s="103"/>
      <c r="G22" s="103"/>
      <c r="H22" s="103"/>
      <c r="I22" s="103"/>
      <c r="J22" s="103"/>
      <c r="K22" s="34"/>
    </row>
    <row r="23" spans="1:11" ht="17.25" customHeight="1">
      <c r="A23" s="34"/>
      <c r="B23" s="236" t="s">
        <v>154</v>
      </c>
      <c r="C23" s="236"/>
      <c r="D23" s="236"/>
      <c r="E23" s="236"/>
      <c r="F23" s="236"/>
      <c r="G23" s="236"/>
      <c r="H23" s="236"/>
      <c r="I23" s="236"/>
      <c r="J23" s="236"/>
      <c r="K23" s="34"/>
    </row>
    <row r="24" spans="1:11" ht="18.75" customHeight="1">
      <c r="A24" s="37" t="s">
        <v>155</v>
      </c>
      <c r="B24" s="237" t="s">
        <v>156</v>
      </c>
      <c r="C24" s="237"/>
      <c r="D24" s="237"/>
      <c r="E24" s="237"/>
      <c r="F24" s="237"/>
      <c r="G24" s="237"/>
      <c r="H24" s="237"/>
      <c r="I24" s="237"/>
      <c r="J24" s="237"/>
      <c r="K24" s="34"/>
    </row>
    <row r="25" spans="1:11" ht="15.75" customHeight="1">
      <c r="A25" s="37" t="s">
        <v>157</v>
      </c>
      <c r="B25" s="238" t="s">
        <v>158</v>
      </c>
      <c r="C25" s="238"/>
      <c r="D25" s="238"/>
      <c r="E25" s="238"/>
      <c r="F25" s="238"/>
      <c r="G25" s="238"/>
      <c r="H25" s="238"/>
      <c r="I25" s="238"/>
      <c r="J25" s="238"/>
      <c r="K25" s="34"/>
    </row>
    <row r="26" spans="1:11" ht="17.25" customHeight="1">
      <c r="A26" s="37" t="s">
        <v>159</v>
      </c>
      <c r="B26" s="237" t="s">
        <v>160</v>
      </c>
      <c r="C26" s="237"/>
      <c r="D26" s="237"/>
      <c r="E26" s="237"/>
      <c r="F26" s="237"/>
      <c r="G26" s="237"/>
      <c r="H26" s="237"/>
      <c r="I26" s="237"/>
      <c r="J26" s="237"/>
      <c r="K26" s="34"/>
    </row>
    <row r="27" spans="1:11" ht="16.5" customHeight="1">
      <c r="A27" s="37" t="s">
        <v>161</v>
      </c>
      <c r="B27" s="237" t="s">
        <v>162</v>
      </c>
      <c r="C27" s="237"/>
      <c r="D27" s="237"/>
      <c r="E27" s="237"/>
      <c r="F27" s="237"/>
      <c r="G27" s="237"/>
      <c r="H27" s="237"/>
      <c r="I27" s="237"/>
      <c r="J27" s="237"/>
      <c r="K27" s="34"/>
    </row>
    <row r="28" spans="1:11" ht="21.75" customHeight="1">
      <c r="A28" s="37" t="s">
        <v>163</v>
      </c>
      <c r="B28" s="237" t="s">
        <v>164</v>
      </c>
      <c r="C28" s="237"/>
      <c r="D28" s="237"/>
      <c r="E28" s="237"/>
      <c r="F28" s="237"/>
      <c r="G28" s="237"/>
      <c r="H28" s="237"/>
      <c r="I28" s="237"/>
      <c r="J28" s="237"/>
      <c r="K28" s="48"/>
    </row>
    <row r="29" spans="1:11" ht="28.5" customHeight="1">
      <c r="A29" s="37" t="s">
        <v>165</v>
      </c>
      <c r="B29" s="238" t="s">
        <v>371</v>
      </c>
      <c r="C29" s="238"/>
      <c r="D29" s="238"/>
      <c r="E29" s="238"/>
      <c r="F29" s="238"/>
      <c r="G29" s="238"/>
      <c r="H29" s="238"/>
      <c r="I29" s="238"/>
      <c r="J29" s="238"/>
      <c r="K29" s="34"/>
    </row>
    <row r="30" spans="1:11" ht="18" customHeight="1">
      <c r="A30" s="37" t="s">
        <v>166</v>
      </c>
      <c r="B30" s="237" t="s">
        <v>167</v>
      </c>
      <c r="C30" s="237"/>
      <c r="D30" s="237"/>
      <c r="E30" s="237"/>
      <c r="F30" s="237"/>
      <c r="G30" s="237"/>
      <c r="H30" s="237"/>
      <c r="I30" s="237"/>
      <c r="J30" s="237"/>
      <c r="K30" s="34"/>
    </row>
    <row r="31" spans="1:11" ht="17.25" customHeight="1">
      <c r="A31" s="37" t="s">
        <v>168</v>
      </c>
      <c r="B31" s="237" t="s">
        <v>169</v>
      </c>
      <c r="C31" s="237"/>
      <c r="D31" s="237"/>
      <c r="E31" s="237"/>
      <c r="F31" s="237"/>
      <c r="G31" s="237"/>
      <c r="H31" s="237"/>
      <c r="I31" s="237"/>
      <c r="J31" s="237"/>
      <c r="K31" s="34"/>
    </row>
    <row r="32" spans="1:11" ht="18" customHeight="1">
      <c r="A32" s="34"/>
      <c r="B32" s="236" t="s">
        <v>170</v>
      </c>
      <c r="C32" s="236"/>
      <c r="D32" s="236"/>
      <c r="E32" s="236"/>
      <c r="F32" s="236"/>
      <c r="G32" s="236"/>
      <c r="H32" s="236"/>
      <c r="I32" s="236"/>
      <c r="J32" s="236"/>
    </row>
    <row r="33" spans="1:11" ht="18" customHeight="1">
      <c r="A33" s="34"/>
      <c r="B33" s="236" t="s">
        <v>171</v>
      </c>
      <c r="C33" s="236"/>
      <c r="D33" s="236"/>
      <c r="E33" s="236"/>
      <c r="F33" s="236"/>
      <c r="G33" s="236"/>
      <c r="H33" s="236"/>
      <c r="I33" s="236"/>
      <c r="J33" s="236"/>
      <c r="K33" s="34"/>
    </row>
    <row r="34" spans="1:11" ht="17.25" customHeight="1">
      <c r="A34" s="34"/>
      <c r="B34" s="239" t="s">
        <v>172</v>
      </c>
      <c r="C34" s="239"/>
      <c r="D34" s="239"/>
      <c r="E34" s="239"/>
      <c r="F34" s="239"/>
      <c r="G34" s="239"/>
      <c r="H34" s="239"/>
      <c r="I34" s="239"/>
      <c r="J34" s="239"/>
      <c r="K34" s="34"/>
    </row>
    <row r="35" spans="1:11" ht="15.5">
      <c r="A35" s="37" t="s">
        <v>173</v>
      </c>
      <c r="B35" s="237" t="s">
        <v>174</v>
      </c>
      <c r="C35" s="237"/>
      <c r="D35" s="237"/>
      <c r="E35" s="237"/>
      <c r="F35" s="237"/>
      <c r="G35" s="237"/>
      <c r="H35" s="237"/>
      <c r="I35" s="237"/>
      <c r="J35" s="237"/>
      <c r="K35" s="34"/>
    </row>
    <row r="36" spans="1:11" ht="15.5">
      <c r="A36" s="34"/>
      <c r="B36" s="236" t="s">
        <v>175</v>
      </c>
      <c r="C36" s="236"/>
      <c r="D36" s="236"/>
      <c r="E36" s="236"/>
      <c r="F36" s="236"/>
      <c r="G36" s="236"/>
      <c r="H36" s="236"/>
      <c r="I36" s="236"/>
      <c r="J36" s="236"/>
      <c r="K36" s="34"/>
    </row>
    <row r="37" spans="1:11" ht="15.5">
      <c r="A37" s="34"/>
      <c r="B37" s="236" t="s">
        <v>176</v>
      </c>
      <c r="C37" s="236"/>
      <c r="D37" s="236"/>
      <c r="E37" s="236"/>
      <c r="F37" s="236"/>
      <c r="G37" s="236"/>
      <c r="H37" s="236"/>
      <c r="I37" s="236"/>
      <c r="J37" s="236"/>
      <c r="K37" s="34"/>
    </row>
    <row r="38" spans="1:11" ht="15.5">
      <c r="A38" s="34"/>
      <c r="B38" s="236" t="s">
        <v>177</v>
      </c>
      <c r="C38" s="236"/>
      <c r="D38" s="236"/>
      <c r="E38" s="236"/>
      <c r="F38" s="236"/>
      <c r="G38" s="236"/>
      <c r="H38" s="236"/>
      <c r="I38" s="236"/>
      <c r="J38" s="236"/>
      <c r="K38" s="34"/>
    </row>
    <row r="39" spans="1:11" ht="17.25" customHeight="1">
      <c r="A39" s="37" t="s">
        <v>178</v>
      </c>
      <c r="B39" s="237" t="s">
        <v>179</v>
      </c>
      <c r="C39" s="237"/>
      <c r="D39" s="237"/>
      <c r="E39" s="237"/>
      <c r="F39" s="237"/>
      <c r="G39" s="237"/>
      <c r="H39" s="237"/>
      <c r="I39" s="237"/>
      <c r="J39" s="237"/>
      <c r="K39" s="34"/>
    </row>
    <row r="40" spans="1:11" ht="18.75" customHeight="1">
      <c r="A40" s="37" t="s">
        <v>180</v>
      </c>
      <c r="B40" s="238" t="s">
        <v>181</v>
      </c>
      <c r="C40" s="238"/>
      <c r="D40" s="238"/>
      <c r="E40" s="238"/>
      <c r="F40" s="238"/>
      <c r="G40" s="238"/>
      <c r="H40" s="238"/>
      <c r="I40" s="238"/>
      <c r="J40" s="238"/>
      <c r="K40" s="34"/>
    </row>
    <row r="41" spans="1:11" ht="15.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</row>
    <row r="42" spans="1:11" ht="15.5">
      <c r="A42" s="35" t="s">
        <v>47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15.5">
      <c r="A43" s="33" t="s">
        <v>182</v>
      </c>
      <c r="B43" s="33" t="s">
        <v>183</v>
      </c>
      <c r="C43" s="33"/>
      <c r="D43" s="33"/>
      <c r="E43" s="33"/>
      <c r="F43" s="33"/>
      <c r="G43" s="33"/>
      <c r="H43" s="33"/>
      <c r="I43" s="33"/>
      <c r="J43" s="33"/>
      <c r="K43" s="22"/>
    </row>
    <row r="44" spans="1:11" ht="15.5">
      <c r="B44" s="38" t="s">
        <v>184</v>
      </c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5.5">
      <c r="B45" s="33"/>
      <c r="C45" s="33"/>
      <c r="D45" s="33"/>
      <c r="E45" s="33"/>
      <c r="F45" s="33"/>
      <c r="G45" s="33"/>
      <c r="H45" s="33"/>
      <c r="I45" s="33"/>
      <c r="J45" s="33"/>
      <c r="K45" s="99" t="s">
        <v>185</v>
      </c>
    </row>
    <row r="46" spans="1:11">
      <c r="K46" s="98"/>
    </row>
    <row r="47" spans="1:11" ht="15.5">
      <c r="A47" s="33" t="s">
        <v>186</v>
      </c>
      <c r="B47" s="33" t="s">
        <v>187</v>
      </c>
      <c r="C47" s="22"/>
      <c r="D47" s="22"/>
      <c r="E47" s="22"/>
      <c r="F47" s="22"/>
      <c r="G47" s="22"/>
      <c r="H47" s="22"/>
      <c r="I47" s="22"/>
      <c r="J47" s="22"/>
      <c r="K47" s="98"/>
    </row>
    <row r="48" spans="1:11">
      <c r="K48" s="98"/>
    </row>
    <row r="49" spans="1:11" ht="15.5">
      <c r="B49" s="33" t="s">
        <v>188</v>
      </c>
      <c r="C49" s="33" t="s">
        <v>189</v>
      </c>
      <c r="D49" s="33"/>
      <c r="E49" s="33"/>
      <c r="F49" s="33"/>
      <c r="G49" s="33"/>
      <c r="H49" s="33"/>
      <c r="I49" s="33"/>
      <c r="J49" s="33"/>
      <c r="K49" s="43" t="s">
        <v>190</v>
      </c>
    </row>
    <row r="50" spans="1:11" ht="15.5"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15.5">
      <c r="B51" s="33" t="s">
        <v>191</v>
      </c>
      <c r="C51" s="33" t="s">
        <v>192</v>
      </c>
      <c r="D51" s="33"/>
      <c r="E51" s="33"/>
      <c r="F51" s="33"/>
      <c r="G51" s="33"/>
      <c r="H51" s="33"/>
      <c r="I51" s="33"/>
      <c r="J51" s="33"/>
      <c r="K51" s="43" t="s">
        <v>190</v>
      </c>
    </row>
    <row r="52" spans="1:11" ht="15.5">
      <c r="B52" s="33"/>
      <c r="C52" s="33"/>
      <c r="D52" s="33"/>
      <c r="E52" s="33"/>
      <c r="F52" s="33"/>
      <c r="G52" s="33"/>
      <c r="H52" s="33"/>
      <c r="I52" s="33"/>
      <c r="J52" s="33"/>
      <c r="K52" s="43"/>
    </row>
    <row r="53" spans="1:11" ht="15.5">
      <c r="B53" s="33" t="s">
        <v>193</v>
      </c>
      <c r="C53" s="33" t="s">
        <v>194</v>
      </c>
      <c r="D53" s="33"/>
      <c r="E53" s="33"/>
      <c r="F53" s="33"/>
      <c r="G53" s="33"/>
      <c r="H53" s="33"/>
      <c r="I53" s="33"/>
      <c r="J53" s="33"/>
      <c r="K53" s="43" t="s">
        <v>190</v>
      </c>
    </row>
    <row r="54" spans="1:11" ht="15.5">
      <c r="B54" s="33"/>
      <c r="C54" s="33"/>
      <c r="D54" s="33"/>
      <c r="E54" s="33"/>
      <c r="F54" s="33"/>
      <c r="G54" s="33"/>
      <c r="H54" s="33"/>
      <c r="I54" s="33"/>
      <c r="J54" s="33"/>
      <c r="K54" s="43"/>
    </row>
    <row r="55" spans="1:11" ht="15.5">
      <c r="B55" s="33" t="s">
        <v>195</v>
      </c>
      <c r="C55" s="33" t="s">
        <v>196</v>
      </c>
      <c r="D55" s="33"/>
      <c r="E55" s="33"/>
      <c r="F55" s="33"/>
      <c r="G55" s="33"/>
      <c r="H55" s="33"/>
      <c r="I55" s="33"/>
      <c r="J55" s="33"/>
      <c r="K55" s="43" t="s">
        <v>190</v>
      </c>
    </row>
    <row r="56" spans="1:11" ht="15.5">
      <c r="B56" s="33"/>
      <c r="C56" s="33"/>
      <c r="D56" s="33"/>
      <c r="E56" s="33"/>
      <c r="F56" s="33"/>
      <c r="G56" s="33"/>
      <c r="H56" s="33"/>
      <c r="I56" s="33"/>
      <c r="J56" s="33"/>
      <c r="K56" s="43"/>
    </row>
    <row r="57" spans="1:11" ht="15.5">
      <c r="B57" s="33" t="s">
        <v>197</v>
      </c>
      <c r="C57" s="33" t="s">
        <v>198</v>
      </c>
      <c r="D57" s="33"/>
      <c r="E57" s="33"/>
      <c r="F57" s="33"/>
      <c r="G57" s="33"/>
      <c r="H57" s="33"/>
      <c r="I57" s="33"/>
      <c r="J57" s="33"/>
      <c r="K57" s="43" t="s">
        <v>190</v>
      </c>
    </row>
    <row r="58" spans="1:11" ht="12.75" customHeight="1">
      <c r="K58" s="98"/>
    </row>
    <row r="59" spans="1:11" ht="15.5">
      <c r="A59" s="33" t="s">
        <v>199</v>
      </c>
      <c r="B59" s="33" t="s">
        <v>200</v>
      </c>
      <c r="C59" s="33"/>
      <c r="D59" s="33"/>
      <c r="E59" s="33"/>
      <c r="F59" s="33"/>
      <c r="G59" s="33"/>
      <c r="H59" s="33"/>
      <c r="I59" s="33"/>
      <c r="J59" s="33"/>
      <c r="K59" s="43" t="s">
        <v>201</v>
      </c>
    </row>
    <row r="60" spans="1:11" ht="15.5"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2" spans="1:11" ht="19.5" customHeight="1"/>
  </sheetData>
  <mergeCells count="23">
    <mergeCell ref="B40:J40"/>
    <mergeCell ref="B34:J34"/>
    <mergeCell ref="B35:J35"/>
    <mergeCell ref="B36:J36"/>
    <mergeCell ref="B37:J37"/>
    <mergeCell ref="B38:J38"/>
    <mergeCell ref="B39:J39"/>
    <mergeCell ref="B33:J33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B32:J32"/>
    <mergeCell ref="B19:J19"/>
    <mergeCell ref="B13:K13"/>
    <mergeCell ref="B14:J14"/>
    <mergeCell ref="B16:J16"/>
    <mergeCell ref="B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Furaha</vt:lpstr>
      <vt:lpstr>RATIOS Q1</vt:lpstr>
      <vt:lpstr>Super cars Limited</vt:lpstr>
      <vt:lpstr>Utajiri Limited</vt:lpstr>
      <vt:lpstr>BDA PILOT DECEMBER 2022 Q21</vt:lpstr>
      <vt:lpstr>BDA PILOT DECEMBER 2022 Q22</vt:lpstr>
      <vt:lpstr>BDA DECEMBER 2022 Q21</vt:lpstr>
      <vt:lpstr>BDA AUGUST 2023 Q21</vt:lpstr>
      <vt:lpstr>FMDA APRIL 2024 Q21</vt:lpstr>
      <vt:lpstr>FMDA APRIL 2023 Q22</vt:lpstr>
      <vt:lpstr>BDA APRIL 2024 Q21</vt:lpstr>
      <vt:lpstr>BDA APRIL 2024 Q22</vt:lpstr>
      <vt:lpstr>BDA DECEMBER 2024 Q21</vt:lpstr>
      <vt:lpstr>BDA APRIL 2024 Q24</vt:lpstr>
      <vt:lpstr>BDA APRIL 2025 Q21</vt:lpstr>
      <vt:lpstr>FMDA APRIL 2025 Q21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aura</dc:creator>
  <cp:lastModifiedBy>OMONDI OTIENO</cp:lastModifiedBy>
  <dcterms:created xsi:type="dcterms:W3CDTF">2023-10-18T16:58:52Z</dcterms:created>
  <dcterms:modified xsi:type="dcterms:W3CDTF">2025-07-09T17:44:49Z</dcterms:modified>
</cp:coreProperties>
</file>