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CLINTON 2025\BACKED DATA\CPA ITEMS\BDA\MAY AUGUST 2025\"/>
    </mc:Choice>
  </mc:AlternateContent>
  <xr:revisionPtr revIDLastSave="0" documentId="13_ncr:1_{116D5875-91BC-4EDC-B9BE-CD921BCBBF57}" xr6:coauthVersionLast="47" xr6:coauthVersionMax="47" xr10:uidLastSave="{00000000-0000-0000-0000-000000000000}"/>
  <bookViews>
    <workbookView xWindow="-110" yWindow="-110" windowWidth="19420" windowHeight="10300" firstSheet="5" activeTab="5" xr2:uid="{3B5A57BA-CB0E-44B8-AAE5-C53E9FABFD9F}"/>
  </bookViews>
  <sheets>
    <sheet name="Scenario Summary" sheetId="20" r:id="rId1"/>
    <sheet name="Scenario Summary 2" sheetId="21" r:id="rId2"/>
    <sheet name="Scenario Summary 3" sheetId="22" r:id="rId3"/>
    <sheet name="BDA PILOT DEC 2022 Q23" sheetId="5" r:id="rId4"/>
    <sheet name="BDA DECMBER 2022 Q22" sheetId="6" r:id="rId5"/>
    <sheet name="BDA DECMBER 2022 Q23" sheetId="8" r:id="rId6"/>
    <sheet name="BDA APRIL 2023 Q21" sheetId="7" r:id="rId7"/>
    <sheet name="BDA AUGUST 2023 Q22" sheetId="9" r:id="rId8"/>
    <sheet name="BDA DECEMBER 2023 Q22" sheetId="10" r:id="rId9"/>
    <sheet name="LOAN SCHEDULE &amp; DATA TABLE Q1" sheetId="1" r:id="rId10"/>
    <sheet name="BDA AUGUST 2024 Q22 LOAN S" sheetId="11" r:id="rId11"/>
    <sheet name="FMDA APRIL 2024 Q24 CB" sheetId="2" r:id="rId12"/>
    <sheet name="FMDA APRIL 2024 Q22 CB" sheetId="3" r:id="rId13"/>
    <sheet name="JAWABU LIMITED" sheetId="14" r:id="rId14"/>
    <sheet name="BDA DECEMBER 2024 Q22" sheetId="15" r:id="rId15"/>
    <sheet name="BDA APRIL 2025 Q22" sheetId="16" r:id="rId16"/>
    <sheet name="FMDA APRIL 2025 Q21" sheetId="17" r:id="rId17"/>
  </sheets>
  <definedNames>
    <definedName name="annual_interest">'BDA PILOT DEC 2022 Q23'!$AP$29</definedName>
    <definedName name="Annual_interest_r">'BDA PILOT DEC 2022 Q23'!$AK$28</definedName>
    <definedName name="INTEREST_RATE" localSheetId="3">'BDA PILOT DEC 2022 Q23'!$AP$29</definedName>
    <definedName name="LOAN">'BDA PILOT DEC 2022 Q23'!$AK$27</definedName>
    <definedName name="Total_interest">'BDA PILOT DEC 2022 Q23'!$AP$40</definedName>
    <definedName name="years">'BDA PILOT DEC 2022 Q23'!$AP$30</definedName>
    <definedName name="years__n">'BDA PILOT DEC 2022 Q23'!$AK$29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8" l="1"/>
  <c r="J13" i="8"/>
  <c r="J8" i="8"/>
  <c r="J9" i="8"/>
  <c r="O67" i="15"/>
  <c r="N50" i="15"/>
  <c r="O12" i="15"/>
  <c r="R23" i="15"/>
  <c r="R24" i="15"/>
  <c r="R25" i="15"/>
  <c r="R26" i="15"/>
  <c r="R27" i="15"/>
  <c r="R28" i="15"/>
  <c r="R29" i="15"/>
  <c r="R30" i="15"/>
  <c r="R31" i="15"/>
  <c r="R32" i="15"/>
  <c r="R33" i="15"/>
  <c r="R34" i="15"/>
  <c r="R35" i="15"/>
  <c r="R36" i="15"/>
  <c r="R22" i="15"/>
  <c r="N72" i="15"/>
  <c r="N71" i="15"/>
  <c r="N18" i="15"/>
  <c r="O57" i="15"/>
  <c r="O59" i="15"/>
  <c r="N59" i="15"/>
  <c r="P66" i="15"/>
  <c r="P60" i="15" s="1"/>
  <c r="P72" i="15" s="1"/>
  <c r="Q66" i="15"/>
  <c r="Q67" i="15" s="1"/>
  <c r="Q13" i="15" s="1"/>
  <c r="R66" i="15"/>
  <c r="R67" i="15" s="1"/>
  <c r="R13" i="15" s="1"/>
  <c r="S66" i="15"/>
  <c r="S67" i="15" s="1"/>
  <c r="S13" i="15" s="1"/>
  <c r="O66" i="15"/>
  <c r="O60" i="15" s="1"/>
  <c r="O72" i="15" s="1"/>
  <c r="P10" i="15"/>
  <c r="Q10" i="15"/>
  <c r="R10" i="15"/>
  <c r="S10" i="15"/>
  <c r="O10" i="15"/>
  <c r="P8" i="15"/>
  <c r="Q8" i="15"/>
  <c r="R8" i="15"/>
  <c r="S8" i="15"/>
  <c r="O8" i="15"/>
  <c r="P7" i="15"/>
  <c r="Q7" i="15"/>
  <c r="R7" i="15"/>
  <c r="S7" i="15"/>
  <c r="S9" i="15" s="1"/>
  <c r="O7" i="15"/>
  <c r="Y66" i="16"/>
  <c r="Y67" i="16" s="1"/>
  <c r="Y68" i="16" s="1"/>
  <c r="Y65" i="16"/>
  <c r="Y64" i="16"/>
  <c r="Y56" i="16"/>
  <c r="Y57" i="16" s="1"/>
  <c r="Y58" i="16" s="1"/>
  <c r="Y59" i="16" s="1"/>
  <c r="Y55" i="16"/>
  <c r="Y54" i="16"/>
  <c r="B25" i="16"/>
  <c r="B23" i="16"/>
  <c r="B27" i="16"/>
  <c r="B28" i="16"/>
  <c r="B29" i="16"/>
  <c r="B30" i="16"/>
  <c r="B31" i="16"/>
  <c r="B32" i="16"/>
  <c r="B33" i="16"/>
  <c r="B24" i="16"/>
  <c r="B26" i="16"/>
  <c r="N17" i="16"/>
  <c r="Z45" i="16"/>
  <c r="Z43" i="16"/>
  <c r="AA43" i="16"/>
  <c r="AA42" i="16"/>
  <c r="Y43" i="16"/>
  <c r="Y44" i="16"/>
  <c r="Y45" i="16"/>
  <c r="Y42" i="16"/>
  <c r="Y41" i="16"/>
  <c r="AB33" i="16"/>
  <c r="Z34" i="16"/>
  <c r="Z36" i="16" s="1"/>
  <c r="AA33" i="16"/>
  <c r="Y36" i="16"/>
  <c r="Y35" i="16"/>
  <c r="Y34" i="16"/>
  <c r="Y33" i="16"/>
  <c r="Y32" i="16"/>
  <c r="Y31" i="16"/>
  <c r="X25" i="16"/>
  <c r="X27" i="16" s="1"/>
  <c r="X23" i="16"/>
  <c r="X22" i="16"/>
  <c r="F60" i="16"/>
  <c r="G60" i="16"/>
  <c r="H60" i="16"/>
  <c r="E60" i="16"/>
  <c r="D60" i="16"/>
  <c r="C60" i="16"/>
  <c r="B60" i="16"/>
  <c r="C61" i="16"/>
  <c r="D61" i="16"/>
  <c r="E61" i="16"/>
  <c r="F61" i="16"/>
  <c r="G61" i="16"/>
  <c r="C37" i="16"/>
  <c r="D37" i="16"/>
  <c r="C38" i="16"/>
  <c r="D38" i="16"/>
  <c r="C39" i="16"/>
  <c r="D39" i="16"/>
  <c r="C40" i="16"/>
  <c r="D40" i="16"/>
  <c r="C41" i="16"/>
  <c r="D41" i="16"/>
  <c r="C42" i="16"/>
  <c r="D42" i="16"/>
  <c r="C43" i="16"/>
  <c r="D43" i="16"/>
  <c r="C44" i="16"/>
  <c r="D44" i="16"/>
  <c r="D36" i="16"/>
  <c r="C36" i="16"/>
  <c r="B15" i="16"/>
  <c r="B14" i="16"/>
  <c r="N25" i="16"/>
  <c r="L68" i="16"/>
  <c r="K68" i="16"/>
  <c r="F68" i="16"/>
  <c r="G68" i="16"/>
  <c r="H68" i="16"/>
  <c r="I68" i="16"/>
  <c r="J68" i="16"/>
  <c r="H12" i="16"/>
  <c r="H18" i="16" s="1"/>
  <c r="H61" i="16" s="1"/>
  <c r="H6" i="16"/>
  <c r="H7" i="16"/>
  <c r="H8" i="16"/>
  <c r="H9" i="16"/>
  <c r="H10" i="16"/>
  <c r="H11" i="16"/>
  <c r="H5" i="16"/>
  <c r="G10" i="16"/>
  <c r="G6" i="16"/>
  <c r="G7" i="16"/>
  <c r="G8" i="16"/>
  <c r="G9" i="16"/>
  <c r="G11" i="16"/>
  <c r="G18" i="16"/>
  <c r="G5" i="16"/>
  <c r="F9" i="16"/>
  <c r="F6" i="16"/>
  <c r="F7" i="16"/>
  <c r="F8" i="16"/>
  <c r="F10" i="16"/>
  <c r="F11" i="16"/>
  <c r="F14" i="16"/>
  <c r="F5" i="16"/>
  <c r="E8" i="16"/>
  <c r="E6" i="16"/>
  <c r="E7" i="16"/>
  <c r="E9" i="16"/>
  <c r="E10" i="16"/>
  <c r="E11" i="16"/>
  <c r="E18" i="16"/>
  <c r="E5" i="16"/>
  <c r="D7" i="16"/>
  <c r="D6" i="16"/>
  <c r="D8" i="16"/>
  <c r="D9" i="16"/>
  <c r="D10" i="16"/>
  <c r="D11" i="16"/>
  <c r="D14" i="16"/>
  <c r="D5" i="16"/>
  <c r="C7" i="16"/>
  <c r="C8" i="16"/>
  <c r="C9" i="16"/>
  <c r="C10" i="16"/>
  <c r="C11" i="16"/>
  <c r="C18" i="16"/>
  <c r="C6" i="16"/>
  <c r="C5" i="16"/>
  <c r="N63" i="16"/>
  <c r="N62" i="16"/>
  <c r="O19" i="16"/>
  <c r="N19" i="16"/>
  <c r="O14" i="16"/>
  <c r="P14" i="16"/>
  <c r="Q14" i="16"/>
  <c r="R14" i="16"/>
  <c r="S14" i="16"/>
  <c r="N14" i="16"/>
  <c r="N15" i="16" s="1"/>
  <c r="S12" i="16"/>
  <c r="N10" i="16"/>
  <c r="N13" i="16" s="1"/>
  <c r="P8" i="16"/>
  <c r="Q8" i="16"/>
  <c r="R8" i="16"/>
  <c r="S8" i="16"/>
  <c r="O8" i="16"/>
  <c r="P6" i="16"/>
  <c r="Q6" i="16"/>
  <c r="R6" i="16"/>
  <c r="S6" i="16"/>
  <c r="O6" i="16"/>
  <c r="P5" i="16"/>
  <c r="Q5" i="16"/>
  <c r="R5" i="16"/>
  <c r="S5" i="16"/>
  <c r="O5" i="16"/>
  <c r="J24" i="5"/>
  <c r="K24" i="5"/>
  <c r="L24" i="5"/>
  <c r="J18" i="5"/>
  <c r="J17" i="5"/>
  <c r="L21" i="5"/>
  <c r="J13" i="5"/>
  <c r="J14" i="5" s="1"/>
  <c r="J15" i="5" s="1"/>
  <c r="J16" i="5" s="1"/>
  <c r="J19" i="5" s="1"/>
  <c r="J20" i="5" s="1"/>
  <c r="J21" i="5" s="1"/>
  <c r="J22" i="5" s="1"/>
  <c r="K13" i="5"/>
  <c r="K14" i="5" s="1"/>
  <c r="K15" i="5" s="1"/>
  <c r="K16" i="5" s="1"/>
  <c r="K17" i="5" s="1"/>
  <c r="K18" i="5" s="1"/>
  <c r="K19" i="5" s="1"/>
  <c r="K20" i="5" s="1"/>
  <c r="K21" i="5" s="1"/>
  <c r="K22" i="5" s="1"/>
  <c r="L13" i="5"/>
  <c r="L14" i="5" s="1"/>
  <c r="L15" i="5" s="1"/>
  <c r="L16" i="5" s="1"/>
  <c r="L17" i="5" s="1"/>
  <c r="L18" i="5" s="1"/>
  <c r="L19" i="5" s="1"/>
  <c r="L20" i="5" s="1"/>
  <c r="L22" i="5" s="1"/>
  <c r="J12" i="5"/>
  <c r="K12" i="5"/>
  <c r="L12" i="5"/>
  <c r="I11" i="5"/>
  <c r="I12" i="5" s="1"/>
  <c r="J11" i="5"/>
  <c r="K11" i="5"/>
  <c r="L11" i="5"/>
  <c r="J10" i="5"/>
  <c r="K10" i="5"/>
  <c r="L10" i="5"/>
  <c r="I10" i="5"/>
  <c r="H11" i="5"/>
  <c r="H12" i="5" s="1"/>
  <c r="H10" i="5"/>
  <c r="AQ110" i="5"/>
  <c r="AQ111" i="5"/>
  <c r="AQ112" i="5"/>
  <c r="AQ113" i="5"/>
  <c r="AQ114" i="5"/>
  <c r="AQ115" i="5"/>
  <c r="AQ116" i="5"/>
  <c r="AQ117" i="5"/>
  <c r="AQ118" i="5"/>
  <c r="AQ119" i="5"/>
  <c r="AQ120" i="5"/>
  <c r="AQ121" i="5"/>
  <c r="AQ122" i="5"/>
  <c r="AQ123" i="5"/>
  <c r="AQ124" i="5"/>
  <c r="AQ125" i="5"/>
  <c r="AQ126" i="5"/>
  <c r="AQ127" i="5"/>
  <c r="AQ128" i="5"/>
  <c r="AQ129" i="5"/>
  <c r="AQ130" i="5"/>
  <c r="AQ131" i="5"/>
  <c r="AQ132" i="5"/>
  <c r="AQ133" i="5"/>
  <c r="AQ134" i="5"/>
  <c r="AQ135" i="5"/>
  <c r="AQ136" i="5"/>
  <c r="AQ137" i="5"/>
  <c r="AQ138" i="5"/>
  <c r="AQ139" i="5"/>
  <c r="AQ140" i="5"/>
  <c r="AQ141" i="5"/>
  <c r="AQ142" i="5"/>
  <c r="AQ143" i="5"/>
  <c r="AQ144" i="5"/>
  <c r="AQ145" i="5"/>
  <c r="AR109" i="5"/>
  <c r="AQ109" i="5"/>
  <c r="D33" i="11"/>
  <c r="E33" i="11"/>
  <c r="F33" i="11"/>
  <c r="C33" i="11"/>
  <c r="E38" i="11"/>
  <c r="E40" i="11"/>
  <c r="E39" i="11"/>
  <c r="F38" i="11"/>
  <c r="D39" i="11" s="1"/>
  <c r="D38" i="11"/>
  <c r="C39" i="11"/>
  <c r="C40" i="11"/>
  <c r="C41" i="11"/>
  <c r="C42" i="11"/>
  <c r="C43" i="11"/>
  <c r="C44" i="11"/>
  <c r="C45" i="11"/>
  <c r="C46" i="11"/>
  <c r="C47" i="11"/>
  <c r="C48" i="11"/>
  <c r="C49" i="11"/>
  <c r="C50" i="11"/>
  <c r="C51" i="11"/>
  <c r="C52" i="11"/>
  <c r="C53" i="11"/>
  <c r="C54" i="11"/>
  <c r="C55" i="11"/>
  <c r="C56" i="11"/>
  <c r="C57" i="11"/>
  <c r="C58" i="11"/>
  <c r="C59" i="11"/>
  <c r="C60" i="11"/>
  <c r="C61" i="11"/>
  <c r="C62" i="11"/>
  <c r="C63" i="11"/>
  <c r="C64" i="11"/>
  <c r="C65" i="11"/>
  <c r="C66" i="11"/>
  <c r="C67" i="11"/>
  <c r="C68" i="11"/>
  <c r="C69" i="11"/>
  <c r="C70" i="11"/>
  <c r="C71" i="11"/>
  <c r="C72" i="11"/>
  <c r="C73" i="11"/>
  <c r="C74" i="11"/>
  <c r="C75" i="11"/>
  <c r="C76" i="11"/>
  <c r="C77" i="11"/>
  <c r="C78" i="11"/>
  <c r="C79" i="11"/>
  <c r="C80" i="11"/>
  <c r="C81" i="11"/>
  <c r="C82" i="11"/>
  <c r="C83" i="11"/>
  <c r="C84" i="11"/>
  <c r="C85" i="11"/>
  <c r="C86" i="11"/>
  <c r="C87" i="11"/>
  <c r="C88" i="11"/>
  <c r="C89" i="11"/>
  <c r="C90" i="11"/>
  <c r="C91" i="11"/>
  <c r="C92" i="11"/>
  <c r="C93" i="11"/>
  <c r="C94" i="11"/>
  <c r="C95" i="11"/>
  <c r="C96" i="11"/>
  <c r="C97" i="11"/>
  <c r="C38" i="11"/>
  <c r="J21" i="11"/>
  <c r="F141" i="2"/>
  <c r="H141" i="2"/>
  <c r="J141" i="2" s="1"/>
  <c r="I141" i="2"/>
  <c r="K141" i="2" s="1"/>
  <c r="M141" i="2" s="1"/>
  <c r="F142" i="2" s="1"/>
  <c r="H142" i="2" s="1"/>
  <c r="I142" i="2"/>
  <c r="I143" i="2"/>
  <c r="I144" i="2"/>
  <c r="I145" i="2"/>
  <c r="I146" i="2"/>
  <c r="I147" i="2"/>
  <c r="I148" i="2"/>
  <c r="I149" i="2"/>
  <c r="I150" i="2"/>
  <c r="I151" i="2"/>
  <c r="I152" i="2"/>
  <c r="J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03" i="2"/>
  <c r="D103" i="2"/>
  <c r="J82" i="2"/>
  <c r="J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81" i="2"/>
  <c r="D84" i="2"/>
  <c r="D82" i="2"/>
  <c r="I53" i="2"/>
  <c r="J33" i="2"/>
  <c r="J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D54" i="2"/>
  <c r="H33" i="2"/>
  <c r="I33" i="2" s="1"/>
  <c r="K33" i="2" s="1"/>
  <c r="M33" i="2" s="1"/>
  <c r="F34" i="2" s="1"/>
  <c r="H34" i="2" s="1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F27" i="2"/>
  <c r="F26" i="2"/>
  <c r="F28" i="2"/>
  <c r="BA60" i="5"/>
  <c r="AQ55" i="5"/>
  <c r="AQ54" i="5"/>
  <c r="AQ53" i="5"/>
  <c r="AY66" i="5" s="1"/>
  <c r="AQ66" i="5"/>
  <c r="AP60" i="5"/>
  <c r="AQ60" i="5" s="1"/>
  <c r="AP59" i="5"/>
  <c r="AQ59" i="5" s="1"/>
  <c r="AP35" i="5"/>
  <c r="AP34" i="5"/>
  <c r="AK33" i="5"/>
  <c r="AK34" i="5"/>
  <c r="AK31" i="5"/>
  <c r="R9" i="15" l="1"/>
  <c r="R11" i="15" s="1"/>
  <c r="P9" i="15"/>
  <c r="Q9" i="15"/>
  <c r="Q11" i="15" s="1"/>
  <c r="S11" i="15"/>
  <c r="S71" i="15" s="1"/>
  <c r="N73" i="15"/>
  <c r="N74" i="15" s="1"/>
  <c r="N75" i="15" s="1"/>
  <c r="P11" i="15"/>
  <c r="P71" i="15" s="1"/>
  <c r="P73" i="15" s="1"/>
  <c r="O13" i="15"/>
  <c r="O61" i="15"/>
  <c r="R60" i="15"/>
  <c r="R72" i="15" s="1"/>
  <c r="P67" i="15"/>
  <c r="P13" i="15" s="1"/>
  <c r="S60" i="15"/>
  <c r="S72" i="15" s="1"/>
  <c r="O9" i="15"/>
  <c r="O11" i="15" s="1"/>
  <c r="O71" i="15" s="1"/>
  <c r="O73" i="15" s="1"/>
  <c r="Q60" i="15"/>
  <c r="Q72" i="15" s="1"/>
  <c r="B61" i="16"/>
  <c r="B16" i="16"/>
  <c r="D22" i="16" s="1"/>
  <c r="G14" i="16"/>
  <c r="E14" i="16"/>
  <c r="C14" i="16"/>
  <c r="H14" i="16"/>
  <c r="H15" i="16"/>
  <c r="G15" i="16"/>
  <c r="E15" i="16"/>
  <c r="E16" i="16" s="1"/>
  <c r="C15" i="16"/>
  <c r="D15" i="16"/>
  <c r="D16" i="16" s="1"/>
  <c r="F18" i="16"/>
  <c r="F15" i="16"/>
  <c r="F16" i="16" s="1"/>
  <c r="D18" i="16"/>
  <c r="L69" i="16"/>
  <c r="F69" i="16"/>
  <c r="N64" i="16"/>
  <c r="N66" i="16" s="1"/>
  <c r="O7" i="16"/>
  <c r="O9" i="16" s="1"/>
  <c r="O13" i="16" s="1"/>
  <c r="O15" i="16" s="1"/>
  <c r="S7" i="16"/>
  <c r="S9" i="16" s="1"/>
  <c r="S13" i="16" s="1"/>
  <c r="P7" i="16"/>
  <c r="P9" i="16" s="1"/>
  <c r="P13" i="16" s="1"/>
  <c r="P15" i="16" s="1"/>
  <c r="R7" i="16"/>
  <c r="R9" i="16" s="1"/>
  <c r="R13" i="16" s="1"/>
  <c r="R15" i="16" s="1"/>
  <c r="Q7" i="16"/>
  <c r="Q9" i="16" s="1"/>
  <c r="Q13" i="16" s="1"/>
  <c r="Q15" i="16" s="1"/>
  <c r="H13" i="5"/>
  <c r="I13" i="5"/>
  <c r="I14" i="5" s="1"/>
  <c r="I15" i="5" s="1"/>
  <c r="I16" i="5" s="1"/>
  <c r="I17" i="5" s="1"/>
  <c r="I18" i="5" s="1"/>
  <c r="I19" i="5" s="1"/>
  <c r="I20" i="5" s="1"/>
  <c r="I21" i="5" s="1"/>
  <c r="I22" i="5" s="1"/>
  <c r="AS74" i="5"/>
  <c r="AS90" i="5"/>
  <c r="AS79" i="5"/>
  <c r="AS82" i="5"/>
  <c r="AS83" i="5"/>
  <c r="AS68" i="5"/>
  <c r="AS69" i="5"/>
  <c r="AS70" i="5"/>
  <c r="AQ62" i="5"/>
  <c r="AS87" i="5"/>
  <c r="AS72" i="5"/>
  <c r="AS89" i="5"/>
  <c r="AS75" i="5"/>
  <c r="AS91" i="5"/>
  <c r="AS66" i="5"/>
  <c r="AS76" i="5"/>
  <c r="AS92" i="5"/>
  <c r="AS77" i="5"/>
  <c r="AS93" i="5"/>
  <c r="AS95" i="5"/>
  <c r="AS96" i="5"/>
  <c r="AS81" i="5"/>
  <c r="AS67" i="5"/>
  <c r="AS78" i="5"/>
  <c r="AS94" i="5"/>
  <c r="AS97" i="5"/>
  <c r="AS98" i="5"/>
  <c r="AS100" i="5"/>
  <c r="AS101" i="5"/>
  <c r="AS71" i="5"/>
  <c r="AS99" i="5"/>
  <c r="AS84" i="5"/>
  <c r="AS85" i="5"/>
  <c r="AS86" i="5"/>
  <c r="AS88" i="5"/>
  <c r="AS73" i="5"/>
  <c r="AS80" i="5"/>
  <c r="AP62" i="5"/>
  <c r="F39" i="11"/>
  <c r="J142" i="2"/>
  <c r="K142" i="2" s="1"/>
  <c r="M142" i="2" s="1"/>
  <c r="F143" i="2" s="1"/>
  <c r="H143" i="2" s="1"/>
  <c r="I35" i="2"/>
  <c r="I34" i="2"/>
  <c r="J34" i="2"/>
  <c r="K34" i="2" s="1"/>
  <c r="M34" i="2" s="1"/>
  <c r="F35" i="2" s="1"/>
  <c r="H35" i="2" s="1"/>
  <c r="J35" i="2" s="1"/>
  <c r="K35" i="2" s="1"/>
  <c r="M35" i="2" s="1"/>
  <c r="F36" i="2" s="1"/>
  <c r="H36" i="2" s="1"/>
  <c r="J36" i="2" s="1"/>
  <c r="K36" i="2" s="1"/>
  <c r="AP37" i="5"/>
  <c r="AP38" i="5" s="1"/>
  <c r="AP40" i="5" s="1"/>
  <c r="AK36" i="5"/>
  <c r="AK37" i="5" s="1"/>
  <c r="R71" i="15" l="1"/>
  <c r="R12" i="15"/>
  <c r="R18" i="15" s="1"/>
  <c r="Q71" i="15"/>
  <c r="Q73" i="15" s="1"/>
  <c r="Q74" i="15" s="1"/>
  <c r="Q75" i="15" s="1"/>
  <c r="Q12" i="15"/>
  <c r="Q18" i="15" s="1"/>
  <c r="R73" i="15"/>
  <c r="S73" i="15"/>
  <c r="S74" i="15" s="1"/>
  <c r="S75" i="15" s="1"/>
  <c r="S12" i="15"/>
  <c r="P12" i="15"/>
  <c r="P18" i="15" s="1"/>
  <c r="R74" i="15"/>
  <c r="R75" i="15" s="1"/>
  <c r="O74" i="15"/>
  <c r="O75" i="15" s="1"/>
  <c r="P57" i="15"/>
  <c r="P59" i="15" s="1"/>
  <c r="P61" i="15" s="1"/>
  <c r="O77" i="15"/>
  <c r="P74" i="15"/>
  <c r="P75" i="15" s="1"/>
  <c r="O18" i="15"/>
  <c r="H16" i="16"/>
  <c r="C16" i="16"/>
  <c r="G16" i="16"/>
  <c r="J69" i="16"/>
  <c r="H69" i="16"/>
  <c r="G69" i="16"/>
  <c r="K69" i="16"/>
  <c r="I69" i="16"/>
  <c r="N20" i="16"/>
  <c r="N21" i="16" s="1"/>
  <c r="N22" i="16" s="1"/>
  <c r="O20" i="16"/>
  <c r="P20" i="16"/>
  <c r="S15" i="16"/>
  <c r="N16" i="16" s="1"/>
  <c r="I24" i="5"/>
  <c r="H14" i="5"/>
  <c r="AR69" i="5"/>
  <c r="AR85" i="5"/>
  <c r="AR101" i="5"/>
  <c r="AR74" i="5"/>
  <c r="AR75" i="5"/>
  <c r="AR92" i="5"/>
  <c r="AR94" i="5"/>
  <c r="AR80" i="5"/>
  <c r="AR97" i="5"/>
  <c r="AR83" i="5"/>
  <c r="AR70" i="5"/>
  <c r="AR86" i="5"/>
  <c r="AR95" i="5"/>
  <c r="AR71" i="5"/>
  <c r="AR87" i="5"/>
  <c r="AR72" i="5"/>
  <c r="AR88" i="5"/>
  <c r="AR90" i="5"/>
  <c r="AR77" i="5"/>
  <c r="AR79" i="5"/>
  <c r="AR67" i="5"/>
  <c r="AR99" i="5"/>
  <c r="AR68" i="5"/>
  <c r="AR100" i="5"/>
  <c r="AR73" i="5"/>
  <c r="AR89" i="5"/>
  <c r="AR78" i="5"/>
  <c r="AR81" i="5"/>
  <c r="AR98" i="5"/>
  <c r="AR91" i="5"/>
  <c r="AR76" i="5"/>
  <c r="AR93" i="5"/>
  <c r="AR96" i="5"/>
  <c r="AR66" i="5"/>
  <c r="AT66" i="5" s="1"/>
  <c r="AU66" i="5" s="1"/>
  <c r="AR84" i="5"/>
  <c r="AR82" i="5"/>
  <c r="AZ76" i="5"/>
  <c r="AZ92" i="5"/>
  <c r="AZ81" i="5"/>
  <c r="AZ98" i="5"/>
  <c r="AZ101" i="5"/>
  <c r="AZ70" i="5"/>
  <c r="AZ87" i="5"/>
  <c r="AZ89" i="5"/>
  <c r="AZ75" i="5"/>
  <c r="AZ77" i="5"/>
  <c r="AZ93" i="5"/>
  <c r="AZ100" i="5"/>
  <c r="AZ78" i="5"/>
  <c r="AZ94" i="5"/>
  <c r="AZ68" i="5"/>
  <c r="AZ86" i="5"/>
  <c r="AZ88" i="5"/>
  <c r="AZ79" i="5"/>
  <c r="AZ95" i="5"/>
  <c r="AZ97" i="5"/>
  <c r="AZ82" i="5"/>
  <c r="AZ67" i="5"/>
  <c r="AZ73" i="5"/>
  <c r="AZ91" i="5"/>
  <c r="AZ80" i="5"/>
  <c r="AZ96" i="5"/>
  <c r="AZ83" i="5"/>
  <c r="AZ99" i="5"/>
  <c r="AZ84" i="5"/>
  <c r="AZ85" i="5"/>
  <c r="AZ66" i="5"/>
  <c r="BB66" i="5" s="1"/>
  <c r="BC66" i="5" s="1"/>
  <c r="AY67" i="5" s="1"/>
  <c r="AZ72" i="5"/>
  <c r="AZ90" i="5"/>
  <c r="AZ69" i="5"/>
  <c r="AZ71" i="5"/>
  <c r="AZ74" i="5"/>
  <c r="D40" i="11"/>
  <c r="F40" i="11" s="1"/>
  <c r="J143" i="2"/>
  <c r="K143" i="2" s="1"/>
  <c r="M143" i="2" s="1"/>
  <c r="F144" i="2" s="1"/>
  <c r="H144" i="2" s="1"/>
  <c r="M36" i="2"/>
  <c r="F37" i="2" s="1"/>
  <c r="H37" i="2" s="1"/>
  <c r="J37" i="2" s="1"/>
  <c r="K37" i="2" s="1"/>
  <c r="AK39" i="5"/>
  <c r="AV29" i="5" s="1"/>
  <c r="BP29" i="5"/>
  <c r="BK31" i="5"/>
  <c r="O79" i="15" l="1"/>
  <c r="Q57" i="15"/>
  <c r="Q59" i="15" s="1"/>
  <c r="Q61" i="15" s="1"/>
  <c r="P77" i="15"/>
  <c r="P79" i="15" s="1"/>
  <c r="H15" i="5"/>
  <c r="H16" i="5" s="1"/>
  <c r="H17" i="5" s="1"/>
  <c r="H18" i="5" s="1"/>
  <c r="H19" i="5" s="1"/>
  <c r="H20" i="5" s="1"/>
  <c r="H21" i="5" s="1"/>
  <c r="H22" i="5" s="1"/>
  <c r="S7" i="5" s="1"/>
  <c r="AQ67" i="5"/>
  <c r="AV66" i="5"/>
  <c r="AR110" i="5" s="1"/>
  <c r="BA67" i="5"/>
  <c r="BB67" i="5" s="1"/>
  <c r="BC67" i="5" s="1"/>
  <c r="AY68" i="5" s="1"/>
  <c r="BA68" i="5" s="1"/>
  <c r="BB68" i="5" s="1"/>
  <c r="BC68" i="5" s="1"/>
  <c r="AY69" i="5" s="1"/>
  <c r="BA69" i="5" s="1"/>
  <c r="BB69" i="5" s="1"/>
  <c r="BC69" i="5" s="1"/>
  <c r="AY70" i="5" s="1"/>
  <c r="BA70" i="5" s="1"/>
  <c r="BB70" i="5" s="1"/>
  <c r="BC70" i="5" s="1"/>
  <c r="AY71" i="5" s="1"/>
  <c r="BA71" i="5" s="1"/>
  <c r="E41" i="11"/>
  <c r="D41" i="11" s="1"/>
  <c r="F41" i="11" s="1"/>
  <c r="E42" i="11" s="1"/>
  <c r="D42" i="11" s="1"/>
  <c r="F42" i="11" s="1"/>
  <c r="E43" i="11" s="1"/>
  <c r="J144" i="2"/>
  <c r="K144" i="2" s="1"/>
  <c r="M144" i="2"/>
  <c r="F145" i="2" s="1"/>
  <c r="H145" i="2" s="1"/>
  <c r="M37" i="2"/>
  <c r="F38" i="2" s="1"/>
  <c r="H38" i="2" s="1"/>
  <c r="J38" i="2" s="1"/>
  <c r="K38" i="2" s="1"/>
  <c r="R57" i="15" l="1"/>
  <c r="R59" i="15" s="1"/>
  <c r="R61" i="15" s="1"/>
  <c r="Q77" i="15"/>
  <c r="Q79" i="15" s="1"/>
  <c r="H24" i="5"/>
  <c r="S11" i="5" s="1"/>
  <c r="W7" i="5"/>
  <c r="V7" i="5"/>
  <c r="U7" i="5"/>
  <c r="X7" i="5"/>
  <c r="T7" i="5"/>
  <c r="AT67" i="5"/>
  <c r="AU67" i="5" s="1"/>
  <c r="D43" i="11"/>
  <c r="F43" i="11" s="1"/>
  <c r="E44" i="11" s="1"/>
  <c r="J145" i="2"/>
  <c r="K145" i="2" s="1"/>
  <c r="M145" i="2" s="1"/>
  <c r="F146" i="2" s="1"/>
  <c r="H146" i="2" s="1"/>
  <c r="M38" i="2"/>
  <c r="F39" i="2" s="1"/>
  <c r="H39" i="2" s="1"/>
  <c r="J39" i="2" s="1"/>
  <c r="K39" i="2" s="1"/>
  <c r="M39" i="2" s="1"/>
  <c r="F40" i="2" s="1"/>
  <c r="H40" i="2" s="1"/>
  <c r="BB71" i="5"/>
  <c r="BC71" i="5" s="1"/>
  <c r="AY72" i="5" s="1"/>
  <c r="BA72" i="5" s="1"/>
  <c r="S57" i="15" l="1"/>
  <c r="S59" i="15" s="1"/>
  <c r="S61" i="15" s="1"/>
  <c r="R77" i="15"/>
  <c r="R79" i="15" s="1"/>
  <c r="AQ68" i="5"/>
  <c r="AT68" i="5" s="1"/>
  <c r="AU68" i="5" s="1"/>
  <c r="AV67" i="5"/>
  <c r="AR111" i="5" s="1"/>
  <c r="D44" i="11"/>
  <c r="F44" i="11" s="1"/>
  <c r="E45" i="11" s="1"/>
  <c r="J146" i="2"/>
  <c r="K146" i="2" s="1"/>
  <c r="M146" i="2" s="1"/>
  <c r="F147" i="2" s="1"/>
  <c r="H147" i="2" s="1"/>
  <c r="J40" i="2"/>
  <c r="K40" i="2" s="1"/>
  <c r="M40" i="2" s="1"/>
  <c r="F41" i="2" s="1"/>
  <c r="H41" i="2" s="1"/>
  <c r="BB72" i="5"/>
  <c r="BC72" i="5" s="1"/>
  <c r="AY73" i="5" s="1"/>
  <c r="BA73" i="5" s="1"/>
  <c r="AT70" i="5"/>
  <c r="N48" i="15" l="1"/>
  <c r="N49" i="15" s="1"/>
  <c r="S16" i="15" s="1"/>
  <c r="S18" i="15" s="1"/>
  <c r="S77" i="15"/>
  <c r="S79" i="15" s="1"/>
  <c r="AQ69" i="5"/>
  <c r="AV68" i="5"/>
  <c r="AR112" i="5" s="1"/>
  <c r="D45" i="11"/>
  <c r="F45" i="11" s="1"/>
  <c r="E46" i="11" s="1"/>
  <c r="J147" i="2"/>
  <c r="K147" i="2" s="1"/>
  <c r="M147" i="2" s="1"/>
  <c r="F148" i="2" s="1"/>
  <c r="H148" i="2" s="1"/>
  <c r="J41" i="2"/>
  <c r="K41" i="2" s="1"/>
  <c r="M41" i="2" s="1"/>
  <c r="F42" i="2" s="1"/>
  <c r="H42" i="2" s="1"/>
  <c r="BB73" i="5"/>
  <c r="BC73" i="5" s="1"/>
  <c r="AY74" i="5" s="1"/>
  <c r="BA74" i="5" s="1"/>
  <c r="AT71" i="5"/>
  <c r="Q35" i="15" l="1"/>
  <c r="S35" i="15" s="1"/>
  <c r="Q22" i="15"/>
  <c r="S22" i="15" s="1"/>
  <c r="Q33" i="15"/>
  <c r="S33" i="15" s="1"/>
  <c r="Q30" i="15"/>
  <c r="S30" i="15" s="1"/>
  <c r="Q27" i="15"/>
  <c r="S27" i="15" s="1"/>
  <c r="Q29" i="15"/>
  <c r="S29" i="15" s="1"/>
  <c r="Q25" i="15"/>
  <c r="S25" i="15" s="1"/>
  <c r="Q31" i="15"/>
  <c r="S31" i="15" s="1"/>
  <c r="Q24" i="15"/>
  <c r="S24" i="15" s="1"/>
  <c r="Q32" i="15"/>
  <c r="S32" i="15" s="1"/>
  <c r="Q36" i="15"/>
  <c r="S36" i="15" s="1"/>
  <c r="N38" i="15"/>
  <c r="Q28" i="15"/>
  <c r="S28" i="15" s="1"/>
  <c r="Q34" i="15"/>
  <c r="S34" i="15" s="1"/>
  <c r="Q23" i="15"/>
  <c r="S23" i="15" s="1"/>
  <c r="Q26" i="15"/>
  <c r="S26" i="15" s="1"/>
  <c r="P31" i="15"/>
  <c r="N22" i="15"/>
  <c r="P27" i="15"/>
  <c r="P36" i="15"/>
  <c r="P28" i="15"/>
  <c r="P24" i="15"/>
  <c r="P34" i="15"/>
  <c r="P26" i="15"/>
  <c r="P22" i="15"/>
  <c r="P30" i="15"/>
  <c r="P29" i="15"/>
  <c r="P23" i="15"/>
  <c r="P32" i="15"/>
  <c r="P25" i="15"/>
  <c r="P35" i="15"/>
  <c r="P33" i="15"/>
  <c r="AT69" i="5"/>
  <c r="AU69" i="5" s="1"/>
  <c r="D46" i="11"/>
  <c r="F46" i="11" s="1"/>
  <c r="E47" i="11" s="1"/>
  <c r="J148" i="2"/>
  <c r="K148" i="2" s="1"/>
  <c r="M148" i="2" s="1"/>
  <c r="F149" i="2" s="1"/>
  <c r="H149" i="2" s="1"/>
  <c r="J42" i="2"/>
  <c r="K42" i="2" s="1"/>
  <c r="M42" i="2" s="1"/>
  <c r="F43" i="2" s="1"/>
  <c r="H43" i="2" s="1"/>
  <c r="BB74" i="5"/>
  <c r="BC74" i="5" s="1"/>
  <c r="AY75" i="5" s="1"/>
  <c r="BA75" i="5" s="1"/>
  <c r="AT72" i="5"/>
  <c r="Q39" i="15" l="1"/>
  <c r="S40" i="15"/>
  <c r="AQ70" i="5"/>
  <c r="AU70" i="5" s="1"/>
  <c r="AV69" i="5"/>
  <c r="AR113" i="5" s="1"/>
  <c r="D47" i="11"/>
  <c r="F47" i="11" s="1"/>
  <c r="E48" i="11" s="1"/>
  <c r="J149" i="2"/>
  <c r="K149" i="2" s="1"/>
  <c r="M149" i="2"/>
  <c r="F150" i="2" s="1"/>
  <c r="H150" i="2" s="1"/>
  <c r="J43" i="2"/>
  <c r="K43" i="2" s="1"/>
  <c r="M43" i="2" s="1"/>
  <c r="F44" i="2" s="1"/>
  <c r="H44" i="2" s="1"/>
  <c r="BB75" i="5"/>
  <c r="BC75" i="5" s="1"/>
  <c r="AY76" i="5" s="1"/>
  <c r="BA76" i="5" s="1"/>
  <c r="AT73" i="5"/>
  <c r="AQ71" i="5" l="1"/>
  <c r="AU71" i="5" s="1"/>
  <c r="AV70" i="5"/>
  <c r="AR114" i="5" s="1"/>
  <c r="D48" i="11"/>
  <c r="F48" i="11" s="1"/>
  <c r="E49" i="11" s="1"/>
  <c r="J150" i="2"/>
  <c r="K150" i="2" s="1"/>
  <c r="M150" i="2" s="1"/>
  <c r="F151" i="2" s="1"/>
  <c r="H151" i="2" s="1"/>
  <c r="J44" i="2"/>
  <c r="K44" i="2" s="1"/>
  <c r="M44" i="2" s="1"/>
  <c r="F45" i="2" s="1"/>
  <c r="H45" i="2" s="1"/>
  <c r="BB76" i="5"/>
  <c r="BC76" i="5" s="1"/>
  <c r="AY77" i="5" s="1"/>
  <c r="BA77" i="5" s="1"/>
  <c r="AT74" i="5"/>
  <c r="AQ72" i="5" l="1"/>
  <c r="AU72" i="5" s="1"/>
  <c r="AV71" i="5"/>
  <c r="AR115" i="5" s="1"/>
  <c r="D49" i="11"/>
  <c r="F49" i="11" s="1"/>
  <c r="E50" i="11" s="1"/>
  <c r="J151" i="2"/>
  <c r="K151" i="2" s="1"/>
  <c r="M151" i="2" s="1"/>
  <c r="F152" i="2" s="1"/>
  <c r="H152" i="2" s="1"/>
  <c r="J45" i="2"/>
  <c r="K45" i="2" s="1"/>
  <c r="M45" i="2" s="1"/>
  <c r="F46" i="2" s="1"/>
  <c r="H46" i="2" s="1"/>
  <c r="BB77" i="5"/>
  <c r="BC77" i="5" s="1"/>
  <c r="AY78" i="5" s="1"/>
  <c r="BA78" i="5" s="1"/>
  <c r="AT75" i="5"/>
  <c r="AQ73" i="5" l="1"/>
  <c r="AU73" i="5" s="1"/>
  <c r="AV72" i="5"/>
  <c r="AR116" i="5" s="1"/>
  <c r="D50" i="11"/>
  <c r="F50" i="11" s="1"/>
  <c r="E51" i="11" s="1"/>
  <c r="J152" i="2"/>
  <c r="K152" i="2" s="1"/>
  <c r="M152" i="2" s="1"/>
  <c r="J46" i="2"/>
  <c r="K46" i="2" s="1"/>
  <c r="M46" i="2"/>
  <c r="F47" i="2" s="1"/>
  <c r="H47" i="2" s="1"/>
  <c r="BB78" i="5"/>
  <c r="BC78" i="5" s="1"/>
  <c r="AY79" i="5" s="1"/>
  <c r="BA79" i="5" s="1"/>
  <c r="AT76" i="5"/>
  <c r="AQ74" i="5" l="1"/>
  <c r="AU74" i="5" s="1"/>
  <c r="AV73" i="5"/>
  <c r="AR117" i="5" s="1"/>
  <c r="D51" i="11"/>
  <c r="F51" i="11" s="1"/>
  <c r="E52" i="11" s="1"/>
  <c r="J47" i="2"/>
  <c r="K47" i="2" s="1"/>
  <c r="M47" i="2"/>
  <c r="F48" i="2" s="1"/>
  <c r="H48" i="2" s="1"/>
  <c r="BB79" i="5"/>
  <c r="BC79" i="5" s="1"/>
  <c r="AY80" i="5" s="1"/>
  <c r="BA80" i="5" s="1"/>
  <c r="AT77" i="5"/>
  <c r="AQ75" i="5" l="1"/>
  <c r="AU75" i="5" s="1"/>
  <c r="AV74" i="5"/>
  <c r="AR118" i="5" s="1"/>
  <c r="D52" i="11"/>
  <c r="F52" i="11" s="1"/>
  <c r="E53" i="11" s="1"/>
  <c r="J48" i="2"/>
  <c r="K48" i="2" s="1"/>
  <c r="M48" i="2" s="1"/>
  <c r="F49" i="2" s="1"/>
  <c r="H49" i="2" s="1"/>
  <c r="BB80" i="5"/>
  <c r="BC80" i="5" s="1"/>
  <c r="AY81" i="5" s="1"/>
  <c r="BA81" i="5" s="1"/>
  <c r="AT78" i="5"/>
  <c r="AQ76" i="5" l="1"/>
  <c r="AU76" i="5" s="1"/>
  <c r="AV75" i="5"/>
  <c r="AR119" i="5" s="1"/>
  <c r="D53" i="11"/>
  <c r="F53" i="11" s="1"/>
  <c r="E54" i="11" s="1"/>
  <c r="J49" i="2"/>
  <c r="K49" i="2" s="1"/>
  <c r="M49" i="2" s="1"/>
  <c r="F50" i="2" s="1"/>
  <c r="H50" i="2" s="1"/>
  <c r="BB81" i="5"/>
  <c r="BC81" i="5" s="1"/>
  <c r="AY82" i="5" s="1"/>
  <c r="BA82" i="5" s="1"/>
  <c r="AT79" i="5"/>
  <c r="AQ77" i="5" l="1"/>
  <c r="AU77" i="5" s="1"/>
  <c r="AV76" i="5"/>
  <c r="AR120" i="5" s="1"/>
  <c r="D54" i="11"/>
  <c r="F54" i="11" s="1"/>
  <c r="E55" i="11" s="1"/>
  <c r="J50" i="2"/>
  <c r="K50" i="2" s="1"/>
  <c r="M50" i="2" s="1"/>
  <c r="F51" i="2" s="1"/>
  <c r="H51" i="2" s="1"/>
  <c r="BB82" i="5"/>
  <c r="BC82" i="5" s="1"/>
  <c r="AY83" i="5" s="1"/>
  <c r="BA83" i="5" s="1"/>
  <c r="AT80" i="5"/>
  <c r="AQ78" i="5" l="1"/>
  <c r="AU78" i="5" s="1"/>
  <c r="AV77" i="5"/>
  <c r="AR121" i="5" s="1"/>
  <c r="D55" i="11"/>
  <c r="F55" i="11" s="1"/>
  <c r="E56" i="11" s="1"/>
  <c r="J51" i="2"/>
  <c r="K51" i="2" s="1"/>
  <c r="M51" i="2" s="1"/>
  <c r="F52" i="2" s="1"/>
  <c r="H52" i="2" s="1"/>
  <c r="BB83" i="5"/>
  <c r="BC83" i="5" s="1"/>
  <c r="AY84" i="5" s="1"/>
  <c r="BA84" i="5" s="1"/>
  <c r="AT81" i="5"/>
  <c r="AQ79" i="5" l="1"/>
  <c r="AU79" i="5" s="1"/>
  <c r="AV78" i="5"/>
  <c r="AR122" i="5" s="1"/>
  <c r="D56" i="11"/>
  <c r="F56" i="11" s="1"/>
  <c r="E57" i="11" s="1"/>
  <c r="J52" i="2"/>
  <c r="K52" i="2" s="1"/>
  <c r="M52" i="2"/>
  <c r="F53" i="2" s="1"/>
  <c r="H53" i="2" s="1"/>
  <c r="BB84" i="5"/>
  <c r="BC84" i="5" s="1"/>
  <c r="AY85" i="5" s="1"/>
  <c r="BA85" i="5" s="1"/>
  <c r="AT82" i="5"/>
  <c r="AQ80" i="5" l="1"/>
  <c r="AU80" i="5" s="1"/>
  <c r="AV79" i="5"/>
  <c r="AR123" i="5" s="1"/>
  <c r="D57" i="11"/>
  <c r="F57" i="11" s="1"/>
  <c r="E58" i="11" s="1"/>
  <c r="K53" i="2"/>
  <c r="M53" i="2" s="1"/>
  <c r="F54" i="2" s="1"/>
  <c r="H54" i="2" s="1"/>
  <c r="BB85" i="5"/>
  <c r="BC85" i="5" s="1"/>
  <c r="AY86" i="5" s="1"/>
  <c r="BA86" i="5" s="1"/>
  <c r="AT83" i="5"/>
  <c r="AQ81" i="5" l="1"/>
  <c r="AU81" i="5" s="1"/>
  <c r="AV80" i="5"/>
  <c r="AR124" i="5" s="1"/>
  <c r="D58" i="11"/>
  <c r="F58" i="11" s="1"/>
  <c r="E59" i="11" s="1"/>
  <c r="J54" i="2"/>
  <c r="K54" i="2" s="1"/>
  <c r="M54" i="2" s="1"/>
  <c r="F55" i="2" s="1"/>
  <c r="H55" i="2" s="1"/>
  <c r="BB86" i="5"/>
  <c r="BC86" i="5" s="1"/>
  <c r="AY87" i="5" s="1"/>
  <c r="BA87" i="5" s="1"/>
  <c r="AT84" i="5"/>
  <c r="AQ82" i="5" l="1"/>
  <c r="AU82" i="5" s="1"/>
  <c r="AV81" i="5"/>
  <c r="AR125" i="5" s="1"/>
  <c r="D59" i="11"/>
  <c r="F59" i="11" s="1"/>
  <c r="E60" i="11" s="1"/>
  <c r="J55" i="2"/>
  <c r="K55" i="2" s="1"/>
  <c r="M55" i="2" s="1"/>
  <c r="F56" i="2" s="1"/>
  <c r="H56" i="2" s="1"/>
  <c r="BB87" i="5"/>
  <c r="BC87" i="5" s="1"/>
  <c r="AY88" i="5" s="1"/>
  <c r="BA88" i="5" s="1"/>
  <c r="AT85" i="5"/>
  <c r="AQ83" i="5" l="1"/>
  <c r="AU83" i="5" s="1"/>
  <c r="AV82" i="5"/>
  <c r="AR126" i="5" s="1"/>
  <c r="D60" i="11"/>
  <c r="F60" i="11" s="1"/>
  <c r="E61" i="11" s="1"/>
  <c r="J56" i="2"/>
  <c r="K56" i="2" s="1"/>
  <c r="M56" i="2" s="1"/>
  <c r="F57" i="2" s="1"/>
  <c r="H57" i="2" s="1"/>
  <c r="BB88" i="5"/>
  <c r="BC88" i="5" s="1"/>
  <c r="AY89" i="5" s="1"/>
  <c r="BA89" i="5" s="1"/>
  <c r="AT86" i="5"/>
  <c r="AQ84" i="5" l="1"/>
  <c r="AU84" i="5" s="1"/>
  <c r="AV83" i="5"/>
  <c r="AR127" i="5" s="1"/>
  <c r="D61" i="11"/>
  <c r="F61" i="11" s="1"/>
  <c r="E62" i="11" s="1"/>
  <c r="J57" i="2"/>
  <c r="K57" i="2" s="1"/>
  <c r="M57" i="2" s="1"/>
  <c r="F58" i="2" s="1"/>
  <c r="H58" i="2" s="1"/>
  <c r="BB89" i="5"/>
  <c r="BC89" i="5" s="1"/>
  <c r="AY90" i="5" s="1"/>
  <c r="BA90" i="5" s="1"/>
  <c r="AT87" i="5"/>
  <c r="AQ85" i="5" l="1"/>
  <c r="AU85" i="5" s="1"/>
  <c r="AV84" i="5"/>
  <c r="AR128" i="5" s="1"/>
  <c r="D62" i="11"/>
  <c r="F62" i="11" s="1"/>
  <c r="E63" i="11" s="1"/>
  <c r="J58" i="2"/>
  <c r="K58" i="2" s="1"/>
  <c r="M58" i="2" s="1"/>
  <c r="F59" i="2" s="1"/>
  <c r="H59" i="2" s="1"/>
  <c r="BB90" i="5"/>
  <c r="BC90" i="5" s="1"/>
  <c r="AY91" i="5" s="1"/>
  <c r="BA91" i="5" s="1"/>
  <c r="AT88" i="5"/>
  <c r="AQ86" i="5" l="1"/>
  <c r="AU86" i="5" s="1"/>
  <c r="AV85" i="5"/>
  <c r="AR129" i="5" s="1"/>
  <c r="D63" i="11"/>
  <c r="F63" i="11" s="1"/>
  <c r="E64" i="11" s="1"/>
  <c r="J59" i="2"/>
  <c r="K59" i="2" s="1"/>
  <c r="M59" i="2" s="1"/>
  <c r="F60" i="2" s="1"/>
  <c r="H60" i="2" s="1"/>
  <c r="BB91" i="5"/>
  <c r="BC91" i="5" s="1"/>
  <c r="AY92" i="5" s="1"/>
  <c r="BA92" i="5" s="1"/>
  <c r="AT89" i="5"/>
  <c r="AQ87" i="5" l="1"/>
  <c r="AU87" i="5" s="1"/>
  <c r="AV86" i="5"/>
  <c r="AR130" i="5" s="1"/>
  <c r="D64" i="11"/>
  <c r="F64" i="11" s="1"/>
  <c r="E65" i="11" s="1"/>
  <c r="J60" i="2"/>
  <c r="K60" i="2" s="1"/>
  <c r="M60" i="2" s="1"/>
  <c r="F61" i="2" s="1"/>
  <c r="H61" i="2" s="1"/>
  <c r="BB92" i="5"/>
  <c r="BC92" i="5" s="1"/>
  <c r="AY93" i="5" s="1"/>
  <c r="BA93" i="5" s="1"/>
  <c r="AT90" i="5"/>
  <c r="AQ88" i="5" l="1"/>
  <c r="AU88" i="5" s="1"/>
  <c r="AV87" i="5"/>
  <c r="AR131" i="5" s="1"/>
  <c r="D65" i="11"/>
  <c r="F65" i="11" s="1"/>
  <c r="E66" i="11" s="1"/>
  <c r="J61" i="2"/>
  <c r="K61" i="2" s="1"/>
  <c r="M61" i="2" s="1"/>
  <c r="F62" i="2" s="1"/>
  <c r="H62" i="2" s="1"/>
  <c r="BB93" i="5"/>
  <c r="BC93" i="5" s="1"/>
  <c r="AY94" i="5" s="1"/>
  <c r="BA94" i="5" s="1"/>
  <c r="AT91" i="5"/>
  <c r="AQ89" i="5" l="1"/>
  <c r="AU89" i="5" s="1"/>
  <c r="AV88" i="5"/>
  <c r="AR132" i="5" s="1"/>
  <c r="D66" i="11"/>
  <c r="F66" i="11" s="1"/>
  <c r="E67" i="11" s="1"/>
  <c r="J62" i="2"/>
  <c r="K62" i="2" s="1"/>
  <c r="M62" i="2" s="1"/>
  <c r="F63" i="2" s="1"/>
  <c r="H63" i="2" s="1"/>
  <c r="BB94" i="5"/>
  <c r="BC94" i="5" s="1"/>
  <c r="AY95" i="5" s="1"/>
  <c r="BA95" i="5" s="1"/>
  <c r="AT92" i="5"/>
  <c r="AQ90" i="5" l="1"/>
  <c r="AU90" i="5" s="1"/>
  <c r="AV89" i="5"/>
  <c r="AR133" i="5" s="1"/>
  <c r="D67" i="11"/>
  <c r="F67" i="11" s="1"/>
  <c r="E68" i="11" s="1"/>
  <c r="J63" i="2"/>
  <c r="K63" i="2" s="1"/>
  <c r="M63" i="2" s="1"/>
  <c r="F64" i="2" s="1"/>
  <c r="H64" i="2" s="1"/>
  <c r="BB95" i="5"/>
  <c r="BC95" i="5" s="1"/>
  <c r="AY96" i="5" s="1"/>
  <c r="BA96" i="5" s="1"/>
  <c r="AT93" i="5"/>
  <c r="AQ91" i="5" l="1"/>
  <c r="AU91" i="5" s="1"/>
  <c r="AV90" i="5"/>
  <c r="AR134" i="5" s="1"/>
  <c r="D68" i="11"/>
  <c r="F68" i="11" s="1"/>
  <c r="E69" i="11" s="1"/>
  <c r="J64" i="2"/>
  <c r="K64" i="2" s="1"/>
  <c r="M64" i="2" s="1"/>
  <c r="F65" i="2" s="1"/>
  <c r="H65" i="2" s="1"/>
  <c r="BB96" i="5"/>
  <c r="BC96" i="5" s="1"/>
  <c r="AY97" i="5" s="1"/>
  <c r="BA97" i="5" s="1"/>
  <c r="AT94" i="5"/>
  <c r="AQ92" i="5" l="1"/>
  <c r="AU92" i="5" s="1"/>
  <c r="AV91" i="5"/>
  <c r="AR135" i="5" s="1"/>
  <c r="D69" i="11"/>
  <c r="F69" i="11" s="1"/>
  <c r="E70" i="11" s="1"/>
  <c r="J65" i="2"/>
  <c r="K65" i="2" s="1"/>
  <c r="M65" i="2" s="1"/>
  <c r="F66" i="2" s="1"/>
  <c r="H66" i="2" s="1"/>
  <c r="BB97" i="5"/>
  <c r="BC97" i="5" s="1"/>
  <c r="AY98" i="5" s="1"/>
  <c r="BA98" i="5" s="1"/>
  <c r="AT95" i="5"/>
  <c r="AQ93" i="5" l="1"/>
  <c r="AU93" i="5" s="1"/>
  <c r="AV92" i="5"/>
  <c r="AR136" i="5" s="1"/>
  <c r="D70" i="11"/>
  <c r="F70" i="11" s="1"/>
  <c r="E71" i="11" s="1"/>
  <c r="J66" i="2"/>
  <c r="K66" i="2" s="1"/>
  <c r="M66" i="2" s="1"/>
  <c r="F67" i="2" s="1"/>
  <c r="H67" i="2" s="1"/>
  <c r="BB98" i="5"/>
  <c r="BC98" i="5" s="1"/>
  <c r="AY99" i="5" s="1"/>
  <c r="BA99" i="5" s="1"/>
  <c r="AT96" i="5"/>
  <c r="AQ94" i="5" l="1"/>
  <c r="AU94" i="5" s="1"/>
  <c r="AV93" i="5"/>
  <c r="AR137" i="5" s="1"/>
  <c r="D71" i="11"/>
  <c r="F71" i="11" s="1"/>
  <c r="E72" i="11" s="1"/>
  <c r="J67" i="2"/>
  <c r="K67" i="2" s="1"/>
  <c r="M67" i="2" s="1"/>
  <c r="F68" i="2" s="1"/>
  <c r="H68" i="2" s="1"/>
  <c r="BB99" i="5"/>
  <c r="BC99" i="5" s="1"/>
  <c r="AY100" i="5" s="1"/>
  <c r="BA100" i="5" s="1"/>
  <c r="AT97" i="5"/>
  <c r="AQ95" i="5" l="1"/>
  <c r="AU95" i="5" s="1"/>
  <c r="AV94" i="5"/>
  <c r="AR138" i="5" s="1"/>
  <c r="D72" i="11"/>
  <c r="F72" i="11" s="1"/>
  <c r="E73" i="11" s="1"/>
  <c r="J68" i="2"/>
  <c r="K68" i="2" s="1"/>
  <c r="M68" i="2" s="1"/>
  <c r="F69" i="2" s="1"/>
  <c r="H69" i="2" s="1"/>
  <c r="BB100" i="5"/>
  <c r="BC100" i="5" s="1"/>
  <c r="AY101" i="5" s="1"/>
  <c r="BA101" i="5" s="1"/>
  <c r="AT98" i="5"/>
  <c r="AQ96" i="5" l="1"/>
  <c r="AU96" i="5" s="1"/>
  <c r="AV95" i="5"/>
  <c r="AR139" i="5" s="1"/>
  <c r="D73" i="11"/>
  <c r="F73" i="11" s="1"/>
  <c r="E74" i="11" s="1"/>
  <c r="J69" i="2"/>
  <c r="K69" i="2" s="1"/>
  <c r="M69" i="2" s="1"/>
  <c r="F70" i="2" s="1"/>
  <c r="H70" i="2" s="1"/>
  <c r="BB101" i="5"/>
  <c r="BC101" i="5" s="1"/>
  <c r="AT99" i="5"/>
  <c r="AQ97" i="5" l="1"/>
  <c r="AU97" i="5" s="1"/>
  <c r="AV96" i="5"/>
  <c r="AR140" i="5" s="1"/>
  <c r="D74" i="11"/>
  <c r="F74" i="11" s="1"/>
  <c r="E75" i="11" s="1"/>
  <c r="J70" i="2"/>
  <c r="K70" i="2" s="1"/>
  <c r="M70" i="2" s="1"/>
  <c r="F71" i="2" s="1"/>
  <c r="H71" i="2" s="1"/>
  <c r="AT100" i="5"/>
  <c r="AQ98" i="5" l="1"/>
  <c r="AU98" i="5" s="1"/>
  <c r="AV97" i="5"/>
  <c r="AR141" i="5" s="1"/>
  <c r="D75" i="11"/>
  <c r="F75" i="11" s="1"/>
  <c r="E76" i="11" s="1"/>
  <c r="J71" i="2"/>
  <c r="K71" i="2" s="1"/>
  <c r="M71" i="2" s="1"/>
  <c r="F72" i="2" s="1"/>
  <c r="H72" i="2" s="1"/>
  <c r="AT101" i="5"/>
  <c r="AQ99" i="5" l="1"/>
  <c r="AU99" i="5" s="1"/>
  <c r="AV98" i="5"/>
  <c r="AR142" i="5" s="1"/>
  <c r="D76" i="11"/>
  <c r="F76" i="11" s="1"/>
  <c r="E77" i="11" s="1"/>
  <c r="J72" i="2"/>
  <c r="K72" i="2" s="1"/>
  <c r="M72" i="2" s="1"/>
  <c r="F73" i="2" s="1"/>
  <c r="H73" i="2" s="1"/>
  <c r="AQ100" i="5" l="1"/>
  <c r="AU100" i="5" s="1"/>
  <c r="AV99" i="5"/>
  <c r="AR143" i="5" s="1"/>
  <c r="D77" i="11"/>
  <c r="F77" i="11" s="1"/>
  <c r="E78" i="11" s="1"/>
  <c r="J73" i="2"/>
  <c r="K73" i="2" s="1"/>
  <c r="M73" i="2" s="1"/>
  <c r="F74" i="2" s="1"/>
  <c r="H74" i="2" s="1"/>
  <c r="AQ101" i="5" l="1"/>
  <c r="AU101" i="5" s="1"/>
  <c r="AV101" i="5" s="1"/>
  <c r="AR145" i="5" s="1"/>
  <c r="AV100" i="5"/>
  <c r="AR144" i="5" s="1"/>
  <c r="D78" i="11"/>
  <c r="F78" i="11" s="1"/>
  <c r="E79" i="11" s="1"/>
  <c r="J74" i="2"/>
  <c r="K74" i="2" s="1"/>
  <c r="M74" i="2" s="1"/>
  <c r="F75" i="2" s="1"/>
  <c r="H75" i="2" s="1"/>
  <c r="D79" i="11" l="1"/>
  <c r="F79" i="11" s="1"/>
  <c r="E80" i="11" s="1"/>
  <c r="J75" i="2"/>
  <c r="K75" i="2" s="1"/>
  <c r="M75" i="2" s="1"/>
  <c r="F76" i="2" s="1"/>
  <c r="H76" i="2" s="1"/>
  <c r="D80" i="11" l="1"/>
  <c r="F80" i="11" s="1"/>
  <c r="E81" i="11" s="1"/>
  <c r="J76" i="2"/>
  <c r="K76" i="2" s="1"/>
  <c r="M76" i="2" s="1"/>
  <c r="F77" i="2" s="1"/>
  <c r="H77" i="2" s="1"/>
  <c r="D81" i="11" l="1"/>
  <c r="F81" i="11" s="1"/>
  <c r="E82" i="11" s="1"/>
  <c r="J77" i="2"/>
  <c r="K77" i="2" s="1"/>
  <c r="M77" i="2" s="1"/>
  <c r="F78" i="2" s="1"/>
  <c r="H78" i="2" s="1"/>
  <c r="D82" i="11" l="1"/>
  <c r="F82" i="11" s="1"/>
  <c r="E83" i="11" s="1"/>
  <c r="J78" i="2"/>
  <c r="K78" i="2" s="1"/>
  <c r="M78" i="2" s="1"/>
  <c r="F79" i="2" s="1"/>
  <c r="H79" i="2" s="1"/>
  <c r="D83" i="11" l="1"/>
  <c r="F83" i="11" s="1"/>
  <c r="E84" i="11" s="1"/>
  <c r="J79" i="2"/>
  <c r="K79" i="2" s="1"/>
  <c r="M79" i="2" s="1"/>
  <c r="F80" i="2" s="1"/>
  <c r="H80" i="2" s="1"/>
  <c r="D84" i="11" l="1"/>
  <c r="F84" i="11" s="1"/>
  <c r="E85" i="11" s="1"/>
  <c r="J80" i="2"/>
  <c r="K80" i="2" s="1"/>
  <c r="M80" i="2" s="1"/>
  <c r="F81" i="2" s="1"/>
  <c r="H81" i="2" s="1"/>
  <c r="D85" i="11" l="1"/>
  <c r="F85" i="11" s="1"/>
  <c r="E86" i="11" s="1"/>
  <c r="K81" i="2"/>
  <c r="M81" i="2" s="1"/>
  <c r="F82" i="2" s="1"/>
  <c r="H82" i="2" s="1"/>
  <c r="D86" i="11" l="1"/>
  <c r="F86" i="11" s="1"/>
  <c r="E87" i="11" s="1"/>
  <c r="K82" i="2"/>
  <c r="M82" i="2" s="1"/>
  <c r="F83" i="2" s="1"/>
  <c r="H83" i="2" s="1"/>
  <c r="J83" i="2" s="1"/>
  <c r="D87" i="11" l="1"/>
  <c r="F87" i="11" s="1"/>
  <c r="E88" i="11" s="1"/>
  <c r="K83" i="2"/>
  <c r="M83" i="2" s="1"/>
  <c r="F84" i="2" s="1"/>
  <c r="H84" i="2" s="1"/>
  <c r="J84" i="2" s="1"/>
  <c r="D88" i="11" l="1"/>
  <c r="F88" i="11" s="1"/>
  <c r="E89" i="11" s="1"/>
  <c r="K84" i="2"/>
  <c r="M84" i="2" s="1"/>
  <c r="F85" i="2" s="1"/>
  <c r="H85" i="2" s="1"/>
  <c r="J85" i="2" s="1"/>
  <c r="D89" i="11" l="1"/>
  <c r="F89" i="11" s="1"/>
  <c r="E90" i="11" s="1"/>
  <c r="K85" i="2"/>
  <c r="M85" i="2" s="1"/>
  <c r="F86" i="2" s="1"/>
  <c r="H86" i="2" s="1"/>
  <c r="J86" i="2" s="1"/>
  <c r="D90" i="11" l="1"/>
  <c r="F90" i="11" s="1"/>
  <c r="E91" i="11" s="1"/>
  <c r="K86" i="2"/>
  <c r="M86" i="2" s="1"/>
  <c r="F87" i="2" s="1"/>
  <c r="H87" i="2" s="1"/>
  <c r="J87" i="2" s="1"/>
  <c r="D91" i="11" l="1"/>
  <c r="F91" i="11" s="1"/>
  <c r="E92" i="11" s="1"/>
  <c r="K87" i="2"/>
  <c r="M87" i="2" s="1"/>
  <c r="F88" i="2" s="1"/>
  <c r="H88" i="2" s="1"/>
  <c r="J88" i="2" s="1"/>
  <c r="D92" i="11" l="1"/>
  <c r="F92" i="11" s="1"/>
  <c r="E93" i="11" s="1"/>
  <c r="K88" i="2"/>
  <c r="M88" i="2" s="1"/>
  <c r="F89" i="2" s="1"/>
  <c r="H89" i="2" s="1"/>
  <c r="J89" i="2" s="1"/>
  <c r="D93" i="11" l="1"/>
  <c r="F93" i="11" s="1"/>
  <c r="E94" i="11" s="1"/>
  <c r="K89" i="2"/>
  <c r="M89" i="2" s="1"/>
  <c r="F90" i="2" s="1"/>
  <c r="H90" i="2" s="1"/>
  <c r="J90" i="2" s="1"/>
  <c r="D94" i="11" l="1"/>
  <c r="F94" i="11" s="1"/>
  <c r="E95" i="11" s="1"/>
  <c r="K90" i="2"/>
  <c r="M90" i="2" s="1"/>
  <c r="F91" i="2" s="1"/>
  <c r="H91" i="2" s="1"/>
  <c r="J91" i="2" s="1"/>
  <c r="D95" i="11" l="1"/>
  <c r="F95" i="11" s="1"/>
  <c r="E96" i="11" s="1"/>
  <c r="K91" i="2"/>
  <c r="M91" i="2" s="1"/>
  <c r="F92" i="2" s="1"/>
  <c r="H92" i="2" s="1"/>
  <c r="J92" i="2" s="1"/>
  <c r="D96" i="11" l="1"/>
  <c r="F96" i="11" s="1"/>
  <c r="E97" i="11" s="1"/>
  <c r="K92" i="2"/>
  <c r="M92" i="2" s="1"/>
  <c r="F93" i="2" s="1"/>
  <c r="H93" i="2" s="1"/>
  <c r="J93" i="2" s="1"/>
  <c r="D97" i="11" l="1"/>
  <c r="F97" i="11" s="1"/>
  <c r="K93" i="2"/>
  <c r="M93" i="2" s="1"/>
  <c r="F94" i="2" s="1"/>
  <c r="H94" i="2" s="1"/>
  <c r="J94" i="2" s="1"/>
  <c r="K94" i="2" l="1"/>
  <c r="M94" i="2" s="1"/>
  <c r="F95" i="2" s="1"/>
  <c r="H95" i="2" s="1"/>
  <c r="J95" i="2" s="1"/>
  <c r="K95" i="2" l="1"/>
  <c r="M95" i="2" s="1"/>
  <c r="F96" i="2" s="1"/>
  <c r="H96" i="2" s="1"/>
  <c r="J96" i="2" s="1"/>
  <c r="K96" i="2" l="1"/>
  <c r="M96" i="2" s="1"/>
  <c r="F97" i="2" s="1"/>
  <c r="H97" i="2" s="1"/>
  <c r="J97" i="2" s="1"/>
  <c r="K97" i="2" l="1"/>
  <c r="M97" i="2" s="1"/>
  <c r="F98" i="2" s="1"/>
  <c r="H98" i="2" s="1"/>
  <c r="J98" i="2" s="1"/>
  <c r="K98" i="2" l="1"/>
  <c r="M98" i="2" s="1"/>
  <c r="F99" i="2" s="1"/>
  <c r="H99" i="2" s="1"/>
  <c r="J99" i="2" s="1"/>
  <c r="K99" i="2" l="1"/>
  <c r="M99" i="2" s="1"/>
  <c r="F100" i="2" s="1"/>
  <c r="H100" i="2" s="1"/>
  <c r="J100" i="2" s="1"/>
  <c r="K100" i="2" l="1"/>
  <c r="M100" i="2" s="1"/>
  <c r="F101" i="2" s="1"/>
  <c r="H101" i="2" s="1"/>
  <c r="J101" i="2" s="1"/>
  <c r="K101" i="2" l="1"/>
  <c r="M101" i="2" s="1"/>
  <c r="F102" i="2" s="1"/>
  <c r="H102" i="2" s="1"/>
  <c r="J102" i="2" s="1"/>
  <c r="K102" i="2" l="1"/>
  <c r="M102" i="2" s="1"/>
  <c r="F103" i="2" s="1"/>
  <c r="H103" i="2" s="1"/>
  <c r="K103" i="2" l="1"/>
  <c r="M103" i="2" s="1"/>
  <c r="F104" i="2" s="1"/>
  <c r="H104" i="2" s="1"/>
  <c r="J104" i="2" s="1"/>
  <c r="K104" i="2" l="1"/>
  <c r="M104" i="2" s="1"/>
  <c r="F105" i="2" s="1"/>
  <c r="H105" i="2" s="1"/>
  <c r="J105" i="2" s="1"/>
  <c r="K105" i="2" l="1"/>
  <c r="M105" i="2" s="1"/>
  <c r="F106" i="2" s="1"/>
  <c r="H106" i="2" s="1"/>
  <c r="J106" i="2" s="1"/>
  <c r="K106" i="2" l="1"/>
  <c r="M106" i="2" s="1"/>
  <c r="F107" i="2" s="1"/>
  <c r="H107" i="2" s="1"/>
  <c r="J107" i="2" s="1"/>
  <c r="K107" i="2" l="1"/>
  <c r="M107" i="2" s="1"/>
  <c r="F108" i="2" s="1"/>
  <c r="H108" i="2" s="1"/>
  <c r="J108" i="2" s="1"/>
  <c r="K108" i="2" l="1"/>
  <c r="M108" i="2" s="1"/>
  <c r="F109" i="2" s="1"/>
  <c r="H109" i="2" s="1"/>
  <c r="J109" i="2" s="1"/>
  <c r="K109" i="2" l="1"/>
  <c r="M109" i="2" s="1"/>
  <c r="F110" i="2" s="1"/>
  <c r="H110" i="2" s="1"/>
  <c r="J110" i="2" s="1"/>
  <c r="K110" i="2" l="1"/>
  <c r="M110" i="2" s="1"/>
  <c r="F111" i="2" s="1"/>
  <c r="H111" i="2" s="1"/>
  <c r="J111" i="2" s="1"/>
  <c r="K111" i="2" l="1"/>
  <c r="M111" i="2" s="1"/>
  <c r="F112" i="2" s="1"/>
  <c r="H112" i="2" s="1"/>
  <c r="J112" i="2" s="1"/>
  <c r="K112" i="2" l="1"/>
  <c r="M112" i="2" s="1"/>
  <c r="F113" i="2" s="1"/>
  <c r="H113" i="2" s="1"/>
  <c r="J113" i="2" s="1"/>
  <c r="K113" i="2" l="1"/>
  <c r="M113" i="2" s="1"/>
  <c r="F114" i="2" s="1"/>
  <c r="H114" i="2" s="1"/>
  <c r="J114" i="2" s="1"/>
  <c r="K114" i="2" l="1"/>
  <c r="M114" i="2" s="1"/>
  <c r="F115" i="2" s="1"/>
  <c r="H115" i="2" s="1"/>
  <c r="J115" i="2" s="1"/>
  <c r="K115" i="2" l="1"/>
  <c r="M115" i="2" s="1"/>
  <c r="F116" i="2" s="1"/>
  <c r="H116" i="2" s="1"/>
  <c r="J116" i="2" s="1"/>
  <c r="K116" i="2" l="1"/>
  <c r="M116" i="2" s="1"/>
  <c r="F117" i="2" s="1"/>
  <c r="H117" i="2" s="1"/>
  <c r="J117" i="2" s="1"/>
  <c r="K117" i="2" l="1"/>
  <c r="M117" i="2" s="1"/>
  <c r="F118" i="2" s="1"/>
  <c r="H118" i="2" s="1"/>
  <c r="J118" i="2" s="1"/>
  <c r="K118" i="2" l="1"/>
  <c r="M118" i="2" s="1"/>
  <c r="F119" i="2" s="1"/>
  <c r="H119" i="2" s="1"/>
  <c r="J119" i="2" s="1"/>
  <c r="K119" i="2" l="1"/>
  <c r="M119" i="2" s="1"/>
  <c r="F120" i="2" s="1"/>
  <c r="H120" i="2" s="1"/>
  <c r="J120" i="2" s="1"/>
  <c r="K120" i="2" l="1"/>
  <c r="M120" i="2" s="1"/>
  <c r="F121" i="2" s="1"/>
  <c r="H121" i="2" s="1"/>
  <c r="J121" i="2" s="1"/>
  <c r="K121" i="2" l="1"/>
  <c r="M121" i="2" s="1"/>
  <c r="F122" i="2" s="1"/>
  <c r="H122" i="2" s="1"/>
  <c r="J122" i="2" s="1"/>
  <c r="K122" i="2" l="1"/>
  <c r="M122" i="2" s="1"/>
  <c r="F123" i="2" s="1"/>
  <c r="H123" i="2" s="1"/>
  <c r="J123" i="2" s="1"/>
  <c r="K123" i="2" l="1"/>
  <c r="M123" i="2" s="1"/>
  <c r="F124" i="2" s="1"/>
  <c r="H124" i="2" s="1"/>
  <c r="J124" i="2" s="1"/>
  <c r="K124" i="2" l="1"/>
  <c r="M124" i="2" s="1"/>
  <c r="F125" i="2" s="1"/>
  <c r="H125" i="2" s="1"/>
  <c r="J125" i="2" s="1"/>
  <c r="K125" i="2" l="1"/>
  <c r="M125" i="2" s="1"/>
  <c r="F126" i="2" s="1"/>
  <c r="H126" i="2" s="1"/>
  <c r="J126" i="2" s="1"/>
  <c r="K126" i="2" l="1"/>
  <c r="M126" i="2" s="1"/>
  <c r="F127" i="2" s="1"/>
  <c r="H127" i="2" s="1"/>
  <c r="J127" i="2" s="1"/>
  <c r="K127" i="2" l="1"/>
  <c r="M127" i="2" s="1"/>
  <c r="F128" i="2" s="1"/>
  <c r="H128" i="2" s="1"/>
  <c r="J128" i="2" s="1"/>
  <c r="K128" i="2" l="1"/>
  <c r="M128" i="2" s="1"/>
  <c r="F129" i="2" s="1"/>
  <c r="H129" i="2" s="1"/>
  <c r="J129" i="2" s="1"/>
  <c r="K129" i="2" l="1"/>
  <c r="M129" i="2" s="1"/>
  <c r="F130" i="2" s="1"/>
  <c r="H130" i="2" s="1"/>
  <c r="J130" i="2" s="1"/>
  <c r="K130" i="2" l="1"/>
  <c r="M130" i="2" s="1"/>
  <c r="F131" i="2" s="1"/>
  <c r="H131" i="2" s="1"/>
  <c r="J131" i="2" s="1"/>
  <c r="K131" i="2" l="1"/>
  <c r="M131" i="2" s="1"/>
  <c r="F132" i="2" s="1"/>
  <c r="H132" i="2" s="1"/>
  <c r="J132" i="2" s="1"/>
  <c r="K132" i="2" l="1"/>
  <c r="M132" i="2" s="1"/>
  <c r="F133" i="2" s="1"/>
  <c r="H133" i="2" s="1"/>
  <c r="J133" i="2" s="1"/>
  <c r="K133" i="2" l="1"/>
  <c r="M133" i="2" s="1"/>
  <c r="F134" i="2" s="1"/>
  <c r="H134" i="2" s="1"/>
  <c r="J134" i="2" s="1"/>
  <c r="K134" i="2" l="1"/>
  <c r="M134" i="2" s="1"/>
  <c r="F135" i="2" s="1"/>
  <c r="H135" i="2" s="1"/>
  <c r="J135" i="2" s="1"/>
  <c r="K135" i="2" l="1"/>
  <c r="M135" i="2" s="1"/>
  <c r="F136" i="2" s="1"/>
  <c r="H136" i="2" s="1"/>
  <c r="J136" i="2" s="1"/>
  <c r="K136" i="2" l="1"/>
  <c r="M136" i="2" s="1"/>
  <c r="F137" i="2" s="1"/>
  <c r="H137" i="2" s="1"/>
  <c r="J137" i="2" s="1"/>
  <c r="K137" i="2" l="1"/>
  <c r="M137" i="2" s="1"/>
  <c r="F138" i="2" s="1"/>
  <c r="H138" i="2" s="1"/>
  <c r="J138" i="2" s="1"/>
  <c r="K138" i="2" l="1"/>
  <c r="M138" i="2" s="1"/>
  <c r="F139" i="2" s="1"/>
  <c r="H139" i="2" s="1"/>
  <c r="J139" i="2" s="1"/>
  <c r="K139" i="2" l="1"/>
  <c r="M139" i="2" s="1"/>
  <c r="F140" i="2" s="1"/>
  <c r="H140" i="2" s="1"/>
  <c r="J140" i="2" s="1"/>
  <c r="K140" i="2" l="1"/>
  <c r="M140" i="2" s="1"/>
</calcChain>
</file>

<file path=xl/sharedStrings.xml><?xml version="1.0" encoding="utf-8"?>
<sst xmlns="http://schemas.openxmlformats.org/spreadsheetml/2006/main" count="783" uniqueCount="523">
  <si>
    <t xml:space="preserve">       (6 marks)</t>
  </si>
  <si>
    <t xml:space="preserve">(b)    As a financial analyst, you are analysing mortgages using a loan amortisation schedule and you are presented </t>
  </si>
  <si>
    <t xml:space="preserve">        with the following information:</t>
  </si>
  <si>
    <t>Loan principal amount (Sh.)</t>
  </si>
  <si>
    <t>Annual interest rate</t>
  </si>
  <si>
    <t>17%</t>
  </si>
  <si>
    <t>Loan period (in months)</t>
  </si>
  <si>
    <t>Repayment type</t>
  </si>
  <si>
    <t>End</t>
  </si>
  <si>
    <t xml:space="preserve">       Required:</t>
  </si>
  <si>
    <t xml:space="preserve">      (i)       Compute the monthly repayment amount and prepare a loan amortisation schedule.                                  </t>
  </si>
  <si>
    <t xml:space="preserve">      (ii)      Construct a graph indicating the percentage of capital outstanding for the 48 months term loan.                                  </t>
  </si>
  <si>
    <t xml:space="preserve">       (3 marks)</t>
  </si>
  <si>
    <t xml:space="preserve">      (iii)     Consider the following options:</t>
  </si>
  <si>
    <t>Option</t>
  </si>
  <si>
    <t>Monthly interest rate (%)</t>
  </si>
  <si>
    <t>Term</t>
  </si>
  <si>
    <t>Option 1</t>
  </si>
  <si>
    <t>48 months</t>
  </si>
  <si>
    <t>Option 2</t>
  </si>
  <si>
    <t>60 months</t>
  </si>
  <si>
    <t>Option 3</t>
  </si>
  <si>
    <t>36 months</t>
  </si>
  <si>
    <t xml:space="preserve">               Required:</t>
  </si>
  <si>
    <t xml:space="preserve">               Use a two-way data table to determine which option would be the most favourable to the investor, that considers </t>
  </si>
  <si>
    <t xml:space="preserve">               lower interest payments.</t>
  </si>
  <si>
    <t>(5 marks)</t>
  </si>
  <si>
    <t>QUESTION 22:</t>
  </si>
  <si>
    <t>(a)</t>
  </si>
  <si>
    <t>Olifia Ltd. is evaluating a project with the following characteristics:</t>
  </si>
  <si>
    <t>1.</t>
  </si>
  <si>
    <t>Fixed capital investment is Sh.2,000,000.</t>
  </si>
  <si>
    <t>2.</t>
  </si>
  <si>
    <t>The project has an expected useful life of six years.</t>
  </si>
  <si>
    <t>3.</t>
  </si>
  <si>
    <t xml:space="preserve">The initial investment in net working capital is Sh.200,000. At the end of each year, net working capital must be increased so that </t>
  </si>
  <si>
    <t>the cumulative investment in net working capital is one-sixth of the next year's projected sales.</t>
  </si>
  <si>
    <t>4.</t>
  </si>
  <si>
    <t>The fixed capital is depreciated at the rate of 30% in Year 1, 35% in Year 2, 20% in Year 3, 10% in Year 4, 5% in Year 5, and 0% in Year 6.</t>
  </si>
  <si>
    <t>5.</t>
  </si>
  <si>
    <t xml:space="preserve">Sales are Sh.1,200,000 in Year 1. They grow at 25% annual rate for the next two years and then grow at 10% annual rate  for the last </t>
  </si>
  <si>
    <t>three years.</t>
  </si>
  <si>
    <t>6.</t>
  </si>
  <si>
    <t>Fixed cash operating expenses are Sh.150,000 for Years 1-3 and Sh.130,000 for Years 4-6.</t>
  </si>
  <si>
    <t>7.</t>
  </si>
  <si>
    <t>Variable cash operating expenses are 40% of sales in Year 1, 39% of sales in Year 2 and 38% of sales in Years 3-6.</t>
  </si>
  <si>
    <t>8.</t>
  </si>
  <si>
    <t>Olifia Ltd.'s marginal tax rate is 30%.</t>
  </si>
  <si>
    <t>9.</t>
  </si>
  <si>
    <t xml:space="preserve">Olifia Ltd. will sell its fixed capital investments for Sh.150,000 when the project terminates and recapture its cumulative investment </t>
  </si>
  <si>
    <t>in net working capital. Income taxes will be paid on any gains.</t>
  </si>
  <si>
    <t>10.</t>
  </si>
  <si>
    <t>The project's required rate of return is 12%.</t>
  </si>
  <si>
    <t>11.</t>
  </si>
  <si>
    <t xml:space="preserve">If taxable income on the project is negative in any one year, the loss will offset gains elsewhere in the corporation, resulting in tax </t>
  </si>
  <si>
    <t xml:space="preserve">savings. </t>
  </si>
  <si>
    <t>Required:</t>
  </si>
  <si>
    <t>(i)</t>
  </si>
  <si>
    <t xml:space="preserve">Determine whether this is a profitable investment using the Net Present Value (NPV) and  Internal Rate of Return (IRR) methods.                                 </t>
  </si>
  <si>
    <t>(15 marks)</t>
  </si>
  <si>
    <t>(ii)</t>
  </si>
  <si>
    <t xml:space="preserve">If the tax rate increases to 40% and the required rate of return increases to 14%, determine whether the project is still profitable.                  </t>
  </si>
  <si>
    <t>QUESTION 24:</t>
  </si>
  <si>
    <t>Joan Akinyi is a financial analyst who has approached you to analyse a client's loan structure with the following information:</t>
  </si>
  <si>
    <t>Initial loan amount: Sh.5,700,000.</t>
  </si>
  <si>
    <t>Rate of interest: 12.5% per annum.</t>
  </si>
  <si>
    <t>Period: 10 years payable monthly in arrears.</t>
  </si>
  <si>
    <t>Additional information:</t>
  </si>
  <si>
    <t>balance in the initially agreed period.</t>
  </si>
  <si>
    <t>The rate of interest is adjusted to 13.8% per annum with effect from the end of the fourth year.</t>
  </si>
  <si>
    <t>The monthly repayment is recomputed to fully pay the loan balance in twelve months less than the initially agreed period.</t>
  </si>
  <si>
    <t xml:space="preserve">The borrower enhances his monthly repayments by Sh.18,000 per month from the end of month 64.  </t>
  </si>
  <si>
    <t>The borrower is advanced an additional Sh.700,000 at the end of month 70 and the monthly repayment is recomputed</t>
  </si>
  <si>
    <t>to fully pay the loan balance in the period that had initially been agreed upon.</t>
  </si>
  <si>
    <t>Required</t>
  </si>
  <si>
    <t xml:space="preserve">Using Ms Excel, assist Joan Akinyi  to prepare an entire duration loan amortisation schedule factoring in the information provided above.      </t>
  </si>
  <si>
    <t xml:space="preserve">       </t>
  </si>
  <si>
    <t xml:space="preserve">       (Total: 20 marks)</t>
  </si>
  <si>
    <t>SECTION II – TOTAL 60 MARKS</t>
  </si>
  <si>
    <t>Question Twenty Three</t>
  </si>
  <si>
    <t xml:space="preserve">(a)        You are a financial management consultant in an investment firm. A potential client requests you to analyse an investment </t>
  </si>
  <si>
    <t xml:space="preserve">            with the following features: </t>
  </si>
  <si>
    <t xml:space="preserve">            ·               The cost of the investment is Sh.10,000,000. </t>
  </si>
  <si>
    <t xml:space="preserve">            ·              The investment pays out a sum of Sh.“X” at the end of the first year; this payout grows at the rate of 10 percent per year </t>
  </si>
  <si>
    <t xml:space="preserve">                        for 11 years. </t>
  </si>
  <si>
    <t xml:space="preserve">            Required:</t>
  </si>
  <si>
    <t xml:space="preserve">           (i)        If your discount rate is 15%, calculate the minimum value of “X” that should attract the investor to make the investment. </t>
  </si>
  <si>
    <t xml:space="preserve">                       (3 marks)</t>
  </si>
  <si>
    <t xml:space="preserve">          (ii)       The respective “NPVs” of the investment if the discount rates were to range between 10% and 15%.    (3 marks)</t>
  </si>
  <si>
    <t>Scenario</t>
  </si>
  <si>
    <t>Discount rate</t>
  </si>
  <si>
    <t>Initial cost</t>
  </si>
  <si>
    <t>Starting cash flow</t>
  </si>
  <si>
    <t xml:space="preserve">Growth in initial cash flow </t>
  </si>
  <si>
    <t>Sh.</t>
  </si>
  <si>
    <t>Scenario 1</t>
  </si>
  <si>
    <t>Scenario 2</t>
  </si>
  <si>
    <t>Scenario 3</t>
  </si>
  <si>
    <t xml:space="preserve">             Prepare detailed outcomes of the project under each of the above scenarios.                                            (8 marks) </t>
  </si>
  <si>
    <t xml:space="preserve">(c)       Assume that an investor takes an investment loan of Sh.150,000,000. The loan is for 48 months at an annual interest rate of </t>
  </si>
  <si>
    <t xml:space="preserve">           15 percent (which the bank   translates to a   monthly rate of 15%/12   = 1.25%).  The payments are to be made at the end of each</t>
  </si>
  <si>
    <t xml:space="preserve">           of the next 48 months.</t>
  </si>
  <si>
    <t xml:space="preserve">           Required:  </t>
  </si>
  <si>
    <t xml:space="preserve">           (i)       Calculate the monthly payment on the loan.                                                                                           (2 marks)</t>
  </si>
  <si>
    <t>Monthly</t>
  </si>
  <si>
    <t xml:space="preserve">           (ii)      Assume that you have the following options to negotiate with the bank:</t>
  </si>
  <si>
    <t>Annual interest rate (%)</t>
  </si>
  <si>
    <t xml:space="preserve">                      Use a two-way data table to determine which option would be the most favourable to the investor.                    (4 marks)</t>
  </si>
  <si>
    <t xml:space="preserve">    (Total: 20 marks)</t>
  </si>
  <si>
    <t>Registration Number:</t>
  </si>
  <si>
    <t>Question Twenty Two</t>
  </si>
  <si>
    <t>Mrs Jane Wakwa is the Marketing Director of Vuma Limited, a company that makes and sells electronic devices.</t>
  </si>
  <si>
    <t>The company is considering the launch of a new mobile phone model branded “Trex”. The available data is not fully reliable though Jane still feels</t>
  </si>
  <si>
    <t xml:space="preserve"> that she can make a recommendation on whether or not to launch “Trex”.</t>
  </si>
  <si>
    <t>1.     Trex is estimated to have a shelf life of five years commencing year 2023.</t>
  </si>
  <si>
    <t>2.     Trex will require the purchase of a machine at a cost of Sh.100 million at the end of year 2022, after which the machine will be  sold for Sh.20 million</t>
  </si>
  <si>
    <t xml:space="preserve">        at the end of the fifth year.</t>
  </si>
  <si>
    <t>3.     The selling price and cost structures of Trex (for the first year 2023) with expected inflation factors are as follows:</t>
  </si>
  <si>
    <t xml:space="preserve">Sh. </t>
  </si>
  <si>
    <t>Inflation rate (%) - from year 2024 onwards</t>
  </si>
  <si>
    <t>(Per unit)</t>
  </si>
  <si>
    <t>Selling price</t>
  </si>
  <si>
    <t>Material costs</t>
  </si>
  <si>
    <t>Direct labour costs</t>
  </si>
  <si>
    <t>Incremental fixed cost (excludes depreciation)</t>
  </si>
  <si>
    <t>4.      The company is eligible for capital allowances (depreciation for tax purposes) at the rate of 25% on reducing balance.</t>
  </si>
  <si>
    <t>5.     At the end of the project when the machine is sold, any gain or loss on disposal will be considered for tax.</t>
  </si>
  <si>
    <t xml:space="preserve">6.     The tax rate on income and capital allowances is at the rate of 30% per annum. Assume that the tax for a given period is paid in the same year.   </t>
  </si>
  <si>
    <t xml:space="preserve">7.     The project will require an initial investment in working capital of Sh.20 million which will be increasing by Sh.5 million at the end of each year to cater for </t>
  </si>
  <si>
    <t xml:space="preserve">        general inflation. The whole amount together with the periodic increase will, however, revert at the end of the project.</t>
  </si>
  <si>
    <t xml:space="preserve">8.     Experience has shown that demand for new products is not exactly known in year one but tends to be stable thereafter. Jane has come up with the following </t>
  </si>
  <si>
    <t xml:space="preserve">       estimates of demand for year 2023:</t>
  </si>
  <si>
    <t xml:space="preserve">  </t>
  </si>
  <si>
    <t>Probability</t>
  </si>
  <si>
    <t>Expected sales (Units)</t>
  </si>
  <si>
    <t xml:space="preserve">         Jane expects an initial increase in demand in year 2024 of 25% then a decline of 50% in year 2025. This level will remain the same till the end of the project.</t>
  </si>
  <si>
    <t>9.     Vuma Limited has a real weighted average cost of capital (WACC) of 8% and general inflation is expected to be at 4%.</t>
  </si>
  <si>
    <t xml:space="preserve">        Due to the risk of the project, Jane feels that the relevant nominal WACC should be increased by 3%.</t>
  </si>
  <si>
    <t xml:space="preserve">        Required:</t>
  </si>
  <si>
    <t xml:space="preserve">        Compute the following:</t>
  </si>
  <si>
    <t xml:space="preserve">       (a)      The weighted average cost of capital to be used to evaluate the project.</t>
  </si>
  <si>
    <t>(2 marks)</t>
  </si>
  <si>
    <t xml:space="preserve">       (b)      The relevant cash flows over the project period.</t>
  </si>
  <si>
    <t xml:space="preserve">       (c)      The net present value (NPV) of the project. Advise on the viability of the project.</t>
  </si>
  <si>
    <t>(3 marks)</t>
  </si>
  <si>
    <t xml:space="preserve">      (Total: 20 marks)</t>
  </si>
  <si>
    <t xml:space="preserve">You are evaluating a four-year project with an initial investment of Sh.10,000,000 on 1 January 2023 and the following cash flow characteristics: </t>
  </si>
  <si>
    <t>Date</t>
  </si>
  <si>
    <t>Cash flow (Sh.)</t>
  </si>
  <si>
    <t>The discount rate is given as 8%.</t>
  </si>
  <si>
    <t xml:space="preserve">(a)        (i)        Calculate the NPV and XNPV of the project and hence determine whether the project is viable. </t>
  </si>
  <si>
    <t>(6 marks)</t>
  </si>
  <si>
    <t xml:space="preserve">            (ii)       Highlighting the cause of the difference between NPV and XNPV, explain which one you would use in your analysis and why.</t>
  </si>
  <si>
    <t xml:space="preserve">   (4 marks) </t>
  </si>
  <si>
    <t xml:space="preserve">(b)       (i)       Calculate the IRR and XIRR of the project and hence determine whether the project is viable. </t>
  </si>
  <si>
    <t xml:space="preserve">            (ii)      Highlighting the cause of the difference between IRR and XIRR, explain which one you would use in your analysis and why.  </t>
  </si>
  <si>
    <t>(4 marks)</t>
  </si>
  <si>
    <t>(Total: 20 marks)</t>
  </si>
  <si>
    <t>SECTION II (60 MARKS)</t>
  </si>
  <si>
    <t>Question Twenty One</t>
  </si>
  <si>
    <t>Miwani Limited plans to invest in a 5-year project in the year 2024. However, the information on the project is not reliable.</t>
  </si>
  <si>
    <t>The company would wish to carry out a scenario analysis:</t>
  </si>
  <si>
    <t xml:space="preserve">The following data is available given three scenarios. The optimistic and pessimistic scenarios reflect the % variance </t>
  </si>
  <si>
    <t>from expected.</t>
  </si>
  <si>
    <t>Expected</t>
  </si>
  <si>
    <t>Optimistic</t>
  </si>
  <si>
    <t>Pessimistic</t>
  </si>
  <si>
    <t xml:space="preserve">Initial Investment </t>
  </si>
  <si>
    <t>+30%</t>
  </si>
  <si>
    <t>Before tax residual value</t>
  </si>
  <si>
    <t>+10%</t>
  </si>
  <si>
    <t>-10%</t>
  </si>
  <si>
    <t>Initial working capital</t>
  </si>
  <si>
    <t>-5%</t>
  </si>
  <si>
    <t>+5%</t>
  </si>
  <si>
    <t>Revenues</t>
  </si>
  <si>
    <t>-15%</t>
  </si>
  <si>
    <t>Direct costs</t>
  </si>
  <si>
    <t>-20%</t>
  </si>
  <si>
    <t>+20%</t>
  </si>
  <si>
    <t>Incremental fixed costs</t>
  </si>
  <si>
    <t xml:space="preserve">Capital allowance </t>
  </si>
  <si>
    <t>N/A</t>
  </si>
  <si>
    <t>Inflation rate</t>
  </si>
  <si>
    <t>3%</t>
  </si>
  <si>
    <t>8%</t>
  </si>
  <si>
    <t>Tax rate</t>
  </si>
  <si>
    <t xml:space="preserve">1.       The inflation rate applies to revenues, direct costs, incremental fixed costs and working capital. </t>
  </si>
  <si>
    <t xml:space="preserve">          Working capital will be recovered at the end of the project. </t>
  </si>
  <si>
    <t xml:space="preserve">2.       Revenues and costs arise from year 1. </t>
  </si>
  <si>
    <t>3.       The capital allowance rate is on reducing balance basis.</t>
  </si>
  <si>
    <t>4.       Tax will be applied on the gain/loss on disposal of the asset.</t>
  </si>
  <si>
    <t>5.       The weighted average cost of capital for the company is 15%.</t>
  </si>
  <si>
    <t>Compute the following for each of the three scenarios:</t>
  </si>
  <si>
    <t xml:space="preserve">(a)        Net Present Value (NPV).                                                                                                    </t>
  </si>
  <si>
    <t xml:space="preserve">       (10 marks)</t>
  </si>
  <si>
    <t xml:space="preserve">(b)        Internal Rate of Return (IRR).                            </t>
  </si>
  <si>
    <t xml:space="preserve">                                                                                                </t>
  </si>
  <si>
    <t>QUESTION 22</t>
  </si>
  <si>
    <t>Riziki Limited is considering a project with the following details:</t>
  </si>
  <si>
    <t xml:space="preserve">                   Sh.</t>
  </si>
  <si>
    <t xml:space="preserve">Initial capital cost </t>
  </si>
  <si>
    <t xml:space="preserve">Residual value </t>
  </si>
  <si>
    <t xml:space="preserve">Selling price per unit </t>
  </si>
  <si>
    <t xml:space="preserve">Variable cost per unit </t>
  </si>
  <si>
    <t>Fixed costs per year</t>
  </si>
  <si>
    <t>1. Annual number of units sold are 30,000.</t>
  </si>
  <si>
    <t>2.The project has a useful life of 5 years.</t>
  </si>
  <si>
    <t xml:space="preserve">3. The company uses a weighted average cost of capital (WACC) of 12%. </t>
  </si>
  <si>
    <t>(a)   Compute the base net present value (NPV).</t>
  </si>
  <si>
    <t>(b)   Carry out a sensitivity analysis of NPV assuming an adverse variance of 5% for all the inputs except project life and weighted average cost of capital (WACC).</t>
  </si>
  <si>
    <t>(c)   Prepare an appropriate chart to indicate the different NPVs for each scenario in (b) above.</t>
  </si>
  <si>
    <t>NB:  Adverse variance in this case means a decrease in cash inflows or an increase in cash outflows.</t>
  </si>
  <si>
    <t>Safari Limited is evaluating a project with the following details:</t>
  </si>
  <si>
    <t>Initial Investment</t>
  </si>
  <si>
    <t>Sh.100,000,000</t>
  </si>
  <si>
    <t>Residual Value</t>
  </si>
  <si>
    <t>Sh.10,000,000</t>
  </si>
  <si>
    <t>Year 1 Project Cash Flows</t>
  </si>
  <si>
    <t>Sh.25,000,000</t>
  </si>
  <si>
    <t>Annual Cash Flow growth rate from Year 2</t>
  </si>
  <si>
    <t>Project Life</t>
  </si>
  <si>
    <t>5 Years</t>
  </si>
  <si>
    <t>(a)      Compute the following Project Metrics:</t>
  </si>
  <si>
    <t xml:space="preserve">          (i)       The Payback Period.</t>
  </si>
  <si>
    <t xml:space="preserve">          (ii)      The Net Present Value (NPV) (Assume a discount rate of 12%).</t>
  </si>
  <si>
    <t xml:space="preserve">          (iii)     The Profitability Index (PI) (Assume a discount rate of 12%).</t>
  </si>
  <si>
    <t>(b)     Using a graph, determine the project's Internal Rate of Return.</t>
  </si>
  <si>
    <t>(Total: 30 marks)</t>
  </si>
  <si>
    <t>CA35P page 7</t>
  </si>
  <si>
    <t>Out of 10</t>
  </si>
  <si>
    <t>Manoti Were has recently been thinking of buying his dream car, a few years after joining Rafiki Sacco. Having established a Mercedes E-Class vehicle would cost</t>
  </si>
  <si>
    <t>between Sh.2.7 million to Sh.3 million, he approached the Sacco for a loan of Sh.2 million with the difference to come from the sale of his current car with a current</t>
  </si>
  <si>
    <t xml:space="preserve"> market re-sale value of Sh.1 million.  </t>
  </si>
  <si>
    <t>The Sacco confirmed that Manoti Were qualifies for the loan and were willing to advance him a new loan under the following terms and conditions:</t>
  </si>
  <si>
    <t>Loan amount (Sh.)</t>
  </si>
  <si>
    <t>Period of payment (Years)</t>
  </si>
  <si>
    <t>Repayment frequency</t>
  </si>
  <si>
    <t>Monthly repayment (Sh.)</t>
  </si>
  <si>
    <t>1. The loan is to be repayed on a monthly basis.</t>
  </si>
  <si>
    <t>2. The first installment is due at the end of the first month after loan disbursment.</t>
  </si>
  <si>
    <t>Manoti Were has approached you for advise as he does not understand how the repayment amounts and interest on loan are arrived at.</t>
  </si>
  <si>
    <t>(a)  Using an appropriate Ms Excel function, confirm to Manoti Were that indeed the monthly repayment amount of Sh.43,485 is actually correct.</t>
  </si>
  <si>
    <t xml:space="preserve">(b)   Prepare a monthly loan armotisation schedule for the above loan for Manoti Were to see how the loan clears by the end of 5 years. </t>
  </si>
  <si>
    <t>(12 marks)</t>
  </si>
  <si>
    <t xml:space="preserve">       (Have columns for period, monthly repayment, principle, interest and loan balance)</t>
  </si>
  <si>
    <t xml:space="preserve">(c)  As a customer centric Sacco, the Sacco members are allowed to vary the loan terms to their preferences as long as it is alligned to the loan terms.  </t>
  </si>
  <si>
    <t xml:space="preserve">      Help Manoti Were to fill the table below with the correct repayment period and loan amount in columns C and D respectively that allows for him to make monthly </t>
  </si>
  <si>
    <t xml:space="preserve">      repayment amount of Sh.35,000 and not the proposed Sh.43,485.</t>
  </si>
  <si>
    <r>
      <rPr>
        <b/>
        <sz val="12"/>
        <color theme="1"/>
        <rFont val="Times New Roman"/>
        <family val="1"/>
      </rPr>
      <t>Details</t>
    </r>
    <r>
      <rPr>
        <sz val="12"/>
        <color theme="1"/>
        <rFont val="Times New Roman"/>
        <family val="1"/>
      </rPr>
      <t xml:space="preserve"> </t>
    </r>
  </si>
  <si>
    <t>Bank Proposal</t>
  </si>
  <si>
    <t xml:space="preserve">Charged Amount </t>
  </si>
  <si>
    <t>C</t>
  </si>
  <si>
    <t>D</t>
  </si>
  <si>
    <t>Term (months)</t>
  </si>
  <si>
    <t>Monthly payment</t>
  </si>
  <si>
    <t xml:space="preserve">          b)           Assume that you have three project scenarios as outlined below:</t>
  </si>
  <si>
    <t xml:space="preserve">Mustard Limited is planning to launch a new product branded "Malinex" beginning January 2025. </t>
  </si>
  <si>
    <t>The following data relates to the launch of the product:</t>
  </si>
  <si>
    <t>Year</t>
  </si>
  <si>
    <t>End 2024</t>
  </si>
  <si>
    <t>Initial investment (Sh.''000")</t>
  </si>
  <si>
    <t>Resale value (Sh."000")</t>
  </si>
  <si>
    <t>Production and sale quantities (units)</t>
  </si>
  <si>
    <t>Selling price per unit (Sh.)</t>
  </si>
  <si>
    <t>Variable cost per unit (Sh.)</t>
  </si>
  <si>
    <t>Total fixed costs (Sh."000")</t>
  </si>
  <si>
    <t>Depreciation (Sh."000")</t>
  </si>
  <si>
    <t xml:space="preserve">1.     Corporation tax  will be charged  at the rate of 30% and is paid annualy at the end of the same year when earned. Tax will also </t>
  </si>
  <si>
    <t>apply on the disposal of the machine at the end of the project's life.</t>
  </si>
  <si>
    <t xml:space="preserve">2.     Depreciation is the same as capital allowances. </t>
  </si>
  <si>
    <t xml:space="preserve">3.     Working capital of Sh.20 million will be required at the beginning of the project.  This will increase at Sh.5 million for each of the 4 years, and then </t>
  </si>
  <si>
    <t xml:space="preserve">released at the end of the project life in 2029. </t>
  </si>
  <si>
    <t xml:space="preserve">(a)     Compute the Return on Investment (ROI) of the project.  </t>
  </si>
  <si>
    <t>(b)     Compute the projects after tax cash flows over the five years.</t>
  </si>
  <si>
    <t xml:space="preserve">(c)     Plot a graph of the project's Net Present Value (NPV) profile given the weighted average cost of capital (WACC) ranging from 1% to 15%.  </t>
  </si>
  <si>
    <t>(d)     Determine the project's Internal Rate of Return (IRR).</t>
  </si>
  <si>
    <t xml:space="preserve">(e)     Compute the project's profitability Index (PI) at 10% weighted average cost of capital (WACC).   </t>
  </si>
  <si>
    <t>Viongozi Enterprise is considering investing in a project with the following details:</t>
  </si>
  <si>
    <t xml:space="preserve">Initial capital outlay </t>
  </si>
  <si>
    <t>1.      If implemented, the project has a potential sales value of  38,000 units per annum.</t>
  </si>
  <si>
    <t>2.     The project has a useful life of 5 years.</t>
  </si>
  <si>
    <t xml:space="preserve">3.     Viongozi Enterprise uses a weighted average cost of capital (WACC) of 11%. </t>
  </si>
  <si>
    <t xml:space="preserve">4.     For better perspective, the management would like to see the variability in the project returns given a 7.5% </t>
  </si>
  <si>
    <t>5.     For each scenario of input variability, the rest of the inputs are restored to the default input values.</t>
  </si>
  <si>
    <t>(a)       Compute the base net present value (NPV) of the project.</t>
  </si>
  <si>
    <t>(b)       Carry out the NPV sensitivity analysis of all the project inputs except residual value and project life.</t>
  </si>
  <si>
    <t>(c)       Prepare an appropriate chart to indicate the different NPVs for each scenario in (b) above.</t>
  </si>
  <si>
    <t>(d)      Identify the inputs variability where the project still remain viable.</t>
  </si>
  <si>
    <t>SECTION II  (60 MARKS)</t>
  </si>
  <si>
    <t>Section II comprises  Question 21 and Question 22. Answer BOTH questions.</t>
  </si>
  <si>
    <t>QUESTION 21:</t>
  </si>
  <si>
    <t>You are a financial analyst tasked with modelling the financial performance of Evolve Autoworks Ltd., a leading player in the automotive industry. The company is currently being</t>
  </si>
  <si>
    <t>evaluated for acquisition by a private equity (PE) firm.</t>
  </si>
  <si>
    <t>The financial information provided below corresponds to Year 0, the base year:</t>
  </si>
  <si>
    <t>Revenue: Sh.900 million.</t>
  </si>
  <si>
    <t>Cost of goods sold (COGS): Sh.350 million.</t>
  </si>
  <si>
    <t>(iii)</t>
  </si>
  <si>
    <t>Operating expenses: Sh.120 million.</t>
  </si>
  <si>
    <t>(iv)</t>
  </si>
  <si>
    <t>Earnings before interest, tax, depreciation and amortisation (EBITDA) multiple for acquisition valuation: 5.5x EBITDA.</t>
  </si>
  <si>
    <t>(v)</t>
  </si>
  <si>
    <t>Acquisition financing structure:</t>
  </si>
  <si>
    <r>
      <t>·</t>
    </r>
    <r>
      <rPr>
        <sz val="12"/>
        <color rgb="FF000000"/>
        <rFont val="Times New Roman"/>
        <family val="1"/>
      </rPr>
      <t xml:space="preserve">    40% senior debt, to be repaid in equal annual payments over 10 years.</t>
    </r>
  </si>
  <si>
    <r>
      <t>·</t>
    </r>
    <r>
      <rPr>
        <sz val="12"/>
        <color rgb="FF000000"/>
        <rFont val="Times New Roman"/>
        <family val="1"/>
        <charset val="2"/>
      </rPr>
      <t xml:space="preserve">    20% mezzanine debt, to be repaid in equal annual payments over 8 years.</t>
    </r>
  </si>
  <si>
    <r>
      <t>·</t>
    </r>
    <r>
      <rPr>
        <sz val="12"/>
        <color rgb="FF000000"/>
        <rFont val="Times New Roman"/>
        <family val="1"/>
        <charset val="2"/>
      </rPr>
      <t xml:space="preserve">    40% equity contribution.</t>
    </r>
  </si>
  <si>
    <t>(vi)</t>
  </si>
  <si>
    <t>Corporate tax rate: 30%.</t>
  </si>
  <si>
    <t>(vii)</t>
  </si>
  <si>
    <t>Capital expenditure (CapEx): 2.5% of annual revenue.</t>
  </si>
  <si>
    <t>Additional assumptions for financial projections:</t>
  </si>
  <si>
    <t>1 .</t>
  </si>
  <si>
    <t>Revenue is expected to grow at an annual rate of 10% over the next five years.</t>
  </si>
  <si>
    <t>2 .</t>
  </si>
  <si>
    <t>The COGS will remain a fixed percentage of revenue, maintaining a 58.33% ratio.</t>
  </si>
  <si>
    <t>3 .</t>
  </si>
  <si>
    <t>Operating expenses will increase annually by 5% to reflect inflation and business expansion costs.</t>
  </si>
  <si>
    <t>4 .</t>
  </si>
  <si>
    <t>The company will account for depreciation and amortisation at a rate of 5% of revenue each year.</t>
  </si>
  <si>
    <t>5 .</t>
  </si>
  <si>
    <t>The working capital investment required to support business growth will be 10% of the annual revenue increase.</t>
  </si>
  <si>
    <t>6 .</t>
  </si>
  <si>
    <t>The cost of debt financing is structured as follows:</t>
  </si>
  <si>
    <r>
      <t>·</t>
    </r>
    <r>
      <rPr>
        <sz val="12"/>
        <color rgb="FF000000"/>
        <rFont val="Times New Roman"/>
        <family val="1"/>
      </rPr>
      <t xml:space="preserve">    Senior debt interest rate: 12.5% per annum.</t>
    </r>
  </si>
  <si>
    <r>
      <t>·</t>
    </r>
    <r>
      <rPr>
        <sz val="12"/>
        <color rgb="FF000000"/>
        <rFont val="Times New Roman"/>
        <family val="1"/>
      </rPr>
      <t xml:space="preserve">    Mezzanine debt interest rate: 17.5% per annum.</t>
    </r>
  </si>
  <si>
    <t>7 .</t>
  </si>
  <si>
    <t>No dividend distributions or additional equity issuances are planned during the projection period.</t>
  </si>
  <si>
    <t>Working capital assumptions:</t>
  </si>
  <si>
    <t xml:space="preserve">· </t>
  </si>
  <si>
    <t>Accounts receivable: 10% of revenue.</t>
  </si>
  <si>
    <t>Inventory: 10% of COGS.</t>
  </si>
  <si>
    <t>Accounts payable: 20% of COGS.</t>
  </si>
  <si>
    <t xml:space="preserve">Prepare a detailed five-year statement of profit or loss incorporating all relevant financial entries based on the provided assumptions. Ensure that revenue growth, cost </t>
  </si>
  <si>
    <t xml:space="preserve">structures, operating expenses, interest expenses, taxes and net income are accurately accounted for. </t>
  </si>
  <si>
    <t>(10 marks)</t>
  </si>
  <si>
    <t>(b)</t>
  </si>
  <si>
    <t>Calculate the Free Cash Flow to Equity (FCFE) for each year using the projected financial statements, ensuring accurate adjustments and deductions.</t>
  </si>
  <si>
    <t xml:space="preserve">(c) </t>
  </si>
  <si>
    <t>Construct a structured private equity fund waterfall model illustrating how cash flows will be allocated between Limited Partners (LPs) and General Partners (GPs) after</t>
  </si>
  <si>
    <t xml:space="preserve">accounting for the preferred return of 8% annually. </t>
  </si>
  <si>
    <t>LOAN</t>
  </si>
  <si>
    <t>years</t>
  </si>
  <si>
    <t>Frequency</t>
  </si>
  <si>
    <t>Installment(pmt)</t>
  </si>
  <si>
    <t>annually</t>
  </si>
  <si>
    <t>semi-annualy</t>
  </si>
  <si>
    <t>quarterly</t>
  </si>
  <si>
    <t>weekly</t>
  </si>
  <si>
    <t>monthly</t>
  </si>
  <si>
    <t>Daily</t>
  </si>
  <si>
    <t>m</t>
  </si>
  <si>
    <t>Interest rate(r/m)</t>
  </si>
  <si>
    <t>repayment duration(n*m)</t>
  </si>
  <si>
    <r>
      <t xml:space="preserve">Annual interest </t>
    </r>
    <r>
      <rPr>
        <b/>
        <sz val="18"/>
        <color theme="1"/>
        <rFont val="Times New Roman"/>
        <family val="1"/>
      </rPr>
      <t>r</t>
    </r>
  </si>
  <si>
    <r>
      <t xml:space="preserve">years  </t>
    </r>
    <r>
      <rPr>
        <b/>
        <sz val="20"/>
        <color theme="1"/>
        <rFont val="Times New Roman"/>
        <family val="1"/>
      </rPr>
      <t>n</t>
    </r>
  </si>
  <si>
    <t>interest rate</t>
  </si>
  <si>
    <t>loan</t>
  </si>
  <si>
    <t>Total installment</t>
  </si>
  <si>
    <t>Total interest</t>
  </si>
  <si>
    <t>Loan</t>
  </si>
  <si>
    <t>annual interest</t>
  </si>
  <si>
    <t>adjusted interest rate</t>
  </si>
  <si>
    <t>adjusted period</t>
  </si>
  <si>
    <t>DEFAULT</t>
  </si>
  <si>
    <t>OPTION 1</t>
  </si>
  <si>
    <t>OPTION 2</t>
  </si>
  <si>
    <t>OPTION 3</t>
  </si>
  <si>
    <t>Created by ADMIN on 14/07/2025</t>
  </si>
  <si>
    <t>Scenario Summary</t>
  </si>
  <si>
    <t>Current Values:</t>
  </si>
  <si>
    <t>Result Cells:</t>
  </si>
  <si>
    <t>Notes:  Current Values column represents values of changing cells at</t>
  </si>
  <si>
    <t>time Scenario Summary Report was created.  Changing cells for each</t>
  </si>
  <si>
    <t>scenario are highlighted in gray.</t>
  </si>
  <si>
    <t>annual_interest</t>
  </si>
  <si>
    <t>Total_interest</t>
  </si>
  <si>
    <t>Details</t>
  </si>
  <si>
    <t>period</t>
  </si>
  <si>
    <t>opening balance</t>
  </si>
  <si>
    <t>Interest(ipmt)</t>
  </si>
  <si>
    <t>Principal(ppmt)</t>
  </si>
  <si>
    <t>Ending balance</t>
  </si>
  <si>
    <t>type</t>
  </si>
  <si>
    <t>End of each period</t>
  </si>
  <si>
    <t>PMT=IPMT+PPMT</t>
  </si>
  <si>
    <t>PPMT=PMT-IPMT</t>
  </si>
  <si>
    <t>beginning of each period</t>
  </si>
  <si>
    <t>IMPT INTEREST EXPENSE=interest rate* opening balance</t>
  </si>
  <si>
    <t>Period</t>
  </si>
  <si>
    <t>Additions</t>
  </si>
  <si>
    <t>total opening bal</t>
  </si>
  <si>
    <t>installment</t>
  </si>
  <si>
    <t>additional payment</t>
  </si>
  <si>
    <t>Closing balance</t>
  </si>
  <si>
    <t>principal</t>
  </si>
  <si>
    <t>interest</t>
  </si>
  <si>
    <r>
      <t>1.     An additional amount of Sh.550,000 is repaid with the 20</t>
    </r>
    <r>
      <rPr>
        <vertAlign val="superscript"/>
        <sz val="12"/>
        <color theme="1"/>
        <rFont val="Times New Roman"/>
        <family val="1"/>
      </rPr>
      <t>th</t>
    </r>
    <r>
      <rPr>
        <sz val="12"/>
        <color theme="1"/>
        <rFont val="Times New Roman"/>
        <family val="1"/>
      </rPr>
      <t xml:space="preserve">  installment and the monthly installment recomputed to fully pay the loan</t>
    </r>
  </si>
  <si>
    <t>PMT</t>
  </si>
  <si>
    <t xml:space="preserve">Frequency </t>
  </si>
  <si>
    <t>end of each month</t>
  </si>
  <si>
    <t>Type</t>
  </si>
  <si>
    <t>principal(ppmt)</t>
  </si>
  <si>
    <t>frequency</t>
  </si>
  <si>
    <t>Adjusted interest rate (r/m)</t>
  </si>
  <si>
    <t>Adjusted  period (n*m)</t>
  </si>
  <si>
    <t>interest= monthly interest rate* total opening balance</t>
  </si>
  <si>
    <t>Bal b/d</t>
  </si>
  <si>
    <t>PMT=PPMT+IPMT</t>
  </si>
  <si>
    <t>duration</t>
  </si>
  <si>
    <t>bal c/d</t>
  </si>
  <si>
    <t>period(per)</t>
  </si>
  <si>
    <t>n</t>
  </si>
  <si>
    <t>pv</t>
  </si>
  <si>
    <t>r</t>
  </si>
  <si>
    <t xml:space="preserve">Construct a graph indicating the percentage of capital outstanding for the 36 months term loan </t>
  </si>
  <si>
    <t>outstanding bal %</t>
  </si>
  <si>
    <t>year</t>
  </si>
  <si>
    <t>net cashflows</t>
  </si>
  <si>
    <t>Growth rate</t>
  </si>
  <si>
    <t>Discounting rate</t>
  </si>
  <si>
    <t>NPV</t>
  </si>
  <si>
    <t>PVIF = (1+r)^-n</t>
  </si>
  <si>
    <t>Created by ADMIN on 16/07/2025</t>
  </si>
  <si>
    <t>DR at 10%</t>
  </si>
  <si>
    <t>DR at 11%</t>
  </si>
  <si>
    <t>Created by ADMIN on 16/07/2025
Modified by ADMIN on 16/07/2025</t>
  </si>
  <si>
    <t>DR at 12%</t>
  </si>
  <si>
    <t>DR at 13%</t>
  </si>
  <si>
    <t>DR at 14%</t>
  </si>
  <si>
    <t>DR at 15%</t>
  </si>
  <si>
    <t>Changing Cells:</t>
  </si>
  <si>
    <t>SCENARIO 1</t>
  </si>
  <si>
    <t>SCENARIO 2</t>
  </si>
  <si>
    <t>SCENARIO 3</t>
  </si>
  <si>
    <t>DEFAULT SCENARIO</t>
  </si>
  <si>
    <t>Initial investment</t>
  </si>
  <si>
    <t>starting cashflow</t>
  </si>
  <si>
    <t>discounting rate</t>
  </si>
  <si>
    <t>units produced and sold</t>
  </si>
  <si>
    <t>WACC</t>
  </si>
  <si>
    <t>Project life</t>
  </si>
  <si>
    <t>Revenue</t>
  </si>
  <si>
    <t>variable costs</t>
  </si>
  <si>
    <t>Net Contribution</t>
  </si>
  <si>
    <t>Fixed costs</t>
  </si>
  <si>
    <t>EBITDA</t>
  </si>
  <si>
    <t>Initial capital</t>
  </si>
  <si>
    <t>Working capital</t>
  </si>
  <si>
    <t>Residual value</t>
  </si>
  <si>
    <t>Net cashflows</t>
  </si>
  <si>
    <t>Discounted cashflows</t>
  </si>
  <si>
    <t>Not viable</t>
  </si>
  <si>
    <t>PV of regular cashflows</t>
  </si>
  <si>
    <t>PV of irregular cashflows</t>
  </si>
  <si>
    <t>Total pv</t>
  </si>
  <si>
    <t>NPV=Total pv-IO</t>
  </si>
  <si>
    <t>PVIF  =(1+r)^-n</t>
  </si>
  <si>
    <t>PV of the regular cashflows</t>
  </si>
  <si>
    <t>PV of the residual value</t>
  </si>
  <si>
    <t>Base</t>
  </si>
  <si>
    <t xml:space="preserve">Initial capital outlay +7.5% </t>
  </si>
  <si>
    <t>Selling price -7.5%</t>
  </si>
  <si>
    <t>Variable cost+7.5%</t>
  </si>
  <si>
    <t>Fixed costs+7.5%</t>
  </si>
  <si>
    <t>units produced-7.5%</t>
  </si>
  <si>
    <t>WACC +7.5%</t>
  </si>
  <si>
    <t>NPV at the base</t>
  </si>
  <si>
    <t>Pv of residual value</t>
  </si>
  <si>
    <t>IRR</t>
  </si>
  <si>
    <t>IRR is the WACC that give us an NPV of 0</t>
  </si>
  <si>
    <t>IRR 10.174%</t>
  </si>
  <si>
    <t>Status</t>
  </si>
  <si>
    <t>PI</t>
  </si>
  <si>
    <t>PBP</t>
  </si>
  <si>
    <t>Discounted PBP</t>
  </si>
  <si>
    <t>PV of cashflows</t>
  </si>
  <si>
    <t>PV of all cashflows / IO</t>
  </si>
  <si>
    <t>IO</t>
  </si>
  <si>
    <t>cum cashflows</t>
  </si>
  <si>
    <t>Cum cashflows</t>
  </si>
  <si>
    <t>Assume maximum investment period is 4 years</t>
  </si>
  <si>
    <t>CUM Cashflows</t>
  </si>
  <si>
    <t>D pbp</t>
  </si>
  <si>
    <t>DISCOUNTED PBP</t>
  </si>
  <si>
    <t>Function, graph, goal seek, data table</t>
  </si>
  <si>
    <t>wacc</t>
  </si>
  <si>
    <t>npv</t>
  </si>
  <si>
    <t>cum</t>
  </si>
  <si>
    <t>Net contribution</t>
  </si>
  <si>
    <t>Depreciation</t>
  </si>
  <si>
    <t>EBIT</t>
  </si>
  <si>
    <t>PAT</t>
  </si>
  <si>
    <t>Add DTS</t>
  </si>
  <si>
    <t>DTS=(Tax rate*Depreciation)</t>
  </si>
  <si>
    <t>DTS</t>
  </si>
  <si>
    <t>LessTax expense</t>
  </si>
  <si>
    <t>Tax credit</t>
  </si>
  <si>
    <t>Resale value</t>
  </si>
  <si>
    <t>Capital investment</t>
  </si>
  <si>
    <t>opening bal</t>
  </si>
  <si>
    <t>addition</t>
  </si>
  <si>
    <t>total value</t>
  </si>
  <si>
    <t>less depreciation</t>
  </si>
  <si>
    <t>NBV at y 5</t>
  </si>
  <si>
    <t>Capital Loss</t>
  </si>
  <si>
    <t>Add tax credit</t>
  </si>
  <si>
    <t>Initila Investment</t>
  </si>
  <si>
    <t>Less depreciation</t>
  </si>
  <si>
    <t>Less Tax expense</t>
  </si>
  <si>
    <t>ROI</t>
  </si>
  <si>
    <t>NBV at the end of each year</t>
  </si>
  <si>
    <t>Bal c/d(NBV)</t>
  </si>
  <si>
    <t>Using a graph</t>
  </si>
  <si>
    <t>IRR 6.43%</t>
  </si>
  <si>
    <t>USE IRR FUNCTION TO GET INTERNAL RATE OF RETURN</t>
  </si>
  <si>
    <t>PI=PV of cashflows/IO</t>
  </si>
  <si>
    <t>PV of net casfflows</t>
  </si>
  <si>
    <t>TAX</t>
  </si>
  <si>
    <t>TAX RATE</t>
  </si>
  <si>
    <t>XNPV</t>
  </si>
  <si>
    <t>XIRR</t>
  </si>
  <si>
    <t>Viable</t>
  </si>
  <si>
    <t>viable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</si>
</sst>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8" formatCode="&quot;Ksh&quot;#,##0.00;[Red]\-&quot;Ksh&quot;#,##0.00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000%"/>
    <numFmt numFmtId="167" formatCode="_-* #,##0_-;\-* #,##0_-;_-* &quot;-&quot;??_-;_-@_-"/>
    <numFmt numFmtId="168" formatCode="&quot;Ksh&quot;#,##0.00_);[Red]\(&quot;Ksh&quot;#,##0.00\)"/>
    <numFmt numFmtId="169" formatCode="0.0000"/>
    <numFmt numFmtId="170" formatCode="_(* #,##0.0000_);_(* \(#,##0.0000\);_(* &quot;-&quot;??_);_(@_)"/>
    <numFmt numFmtId="171" formatCode="_-* #,##0_-;\-* #,##0_-;_-* &quot;-&quot;?_-;_-@_-"/>
    <numFmt numFmtId="172" formatCode="0.000%"/>
    <numFmt numFmtId="173" formatCode="0.00000"/>
    <numFmt numFmtId="174" formatCode="0.0%"/>
    <numFmt numFmtId="176" formatCode="0.00000%"/>
    <numFmt numFmtId="178" formatCode="0.0000000%"/>
    <numFmt numFmtId="179" formatCode="_(* #,##0.000_);_(* \(#,##0.000\);_(* &quot;-&quot;??_);_(@_)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</font>
    <font>
      <b/>
      <sz val="16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231F20"/>
      <name val="Times New Roman"/>
      <family val="1"/>
    </font>
    <font>
      <b/>
      <sz val="12"/>
      <color rgb="FF231F20"/>
      <name val="Times New Roman"/>
      <family val="1"/>
    </font>
    <font>
      <b/>
      <sz val="10"/>
      <color rgb="FF000000"/>
      <name val="Times New Roman"/>
      <family val="1"/>
    </font>
    <font>
      <b/>
      <sz val="10"/>
      <color rgb="FFC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000000"/>
      <name val="Calibri"/>
      <family val="2"/>
      <scheme val="minor"/>
    </font>
    <font>
      <sz val="10"/>
      <color rgb="FF231F20"/>
      <name val="Times New Roman"/>
      <family val="1"/>
    </font>
    <font>
      <b/>
      <sz val="10"/>
      <color rgb="FF231F20"/>
      <name val="Times New Roman"/>
      <family val="1"/>
    </font>
    <font>
      <sz val="12"/>
      <color theme="1"/>
      <name val="Goudy Old Style"/>
      <family val="1"/>
    </font>
    <font>
      <b/>
      <sz val="12"/>
      <name val="Times New Roman"/>
      <family val="1"/>
    </font>
    <font>
      <sz val="18"/>
      <color theme="1"/>
      <name val="Times New Roman"/>
      <family val="1"/>
    </font>
    <font>
      <b/>
      <sz val="18"/>
      <color theme="1"/>
      <name val="Times New Roman"/>
      <family val="1"/>
    </font>
    <font>
      <b/>
      <sz val="16"/>
      <color rgb="FF000000"/>
      <name val="Times New Roman"/>
      <family val="1"/>
    </font>
    <font>
      <sz val="11"/>
      <color rgb="FF000000"/>
      <name val="Times New Roman"/>
      <family val="1"/>
    </font>
    <font>
      <b/>
      <sz val="14"/>
      <color rgb="FF000000"/>
      <name val="Times New Roman"/>
      <family val="1"/>
    </font>
    <font>
      <sz val="16"/>
      <color rgb="FF000000"/>
      <name val="Times New Roman"/>
      <family val="1"/>
    </font>
    <font>
      <sz val="14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Times New Roman"/>
      <family val="1"/>
      <charset val="2"/>
    </font>
    <font>
      <sz val="12"/>
      <color rgb="FF000000"/>
      <name val="Symbol"/>
      <family val="1"/>
      <charset val="2"/>
    </font>
    <font>
      <sz val="10"/>
      <color rgb="FF000000"/>
      <name val="Times New Roman"/>
      <family val="1"/>
    </font>
    <font>
      <b/>
      <sz val="20"/>
      <color theme="1"/>
      <name val="Times New Roman"/>
      <family val="1"/>
    </font>
    <font>
      <b/>
      <sz val="12"/>
      <color indexed="9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0"/>
      <color indexed="9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1"/>
      <color theme="1"/>
      <name val="Segoe UI"/>
      <family val="2"/>
    </font>
    <font>
      <b/>
      <sz val="12"/>
      <color indexed="9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Times New Roman"/>
      <family val="1"/>
    </font>
    <font>
      <sz val="11"/>
      <name val="Calibri"/>
      <family val="2"/>
      <scheme val="minor"/>
    </font>
    <font>
      <sz val="16"/>
      <name val="Times New Roman"/>
      <family val="1"/>
    </font>
    <font>
      <b/>
      <sz val="16"/>
      <name val="Times New Roman"/>
      <family val="1"/>
    </font>
    <font>
      <sz val="16"/>
      <color rgb="FFFF0000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25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vertical="center"/>
    </xf>
    <xf numFmtId="3" fontId="2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/>
    <xf numFmtId="49" fontId="7" fillId="0" borderId="0" xfId="0" applyNumberFormat="1" applyFont="1"/>
    <xf numFmtId="0" fontId="8" fillId="0" borderId="0" xfId="0" applyFont="1"/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0" fillId="0" borderId="0" xfId="0" applyFont="1" applyAlignment="1">
      <alignment horizontal="center" vertical="center"/>
    </xf>
    <xf numFmtId="9" fontId="2" fillId="0" borderId="0" xfId="0" applyNumberFormat="1" applyFont="1"/>
    <xf numFmtId="0" fontId="2" fillId="0" borderId="0" xfId="0" applyFont="1" applyAlignment="1">
      <alignment vertical="center" wrapText="1"/>
    </xf>
    <xf numFmtId="9" fontId="2" fillId="0" borderId="0" xfId="0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164" fontId="2" fillId="0" borderId="0" xfId="1" applyFont="1"/>
    <xf numFmtId="0" fontId="4" fillId="0" borderId="0" xfId="0" applyFont="1" applyAlignment="1">
      <alignment horizontal="left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5" fillId="0" borderId="0" xfId="0" applyFont="1"/>
    <xf numFmtId="0" fontId="14" fillId="0" borderId="0" xfId="0" applyFont="1"/>
    <xf numFmtId="0" fontId="14" fillId="0" borderId="0" xfId="0" applyFont="1" applyAlignment="1">
      <alignment horizontal="justify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justify" vertical="center"/>
    </xf>
    <xf numFmtId="3" fontId="15" fillId="0" borderId="0" xfId="0" applyNumberFormat="1" applyFont="1" applyAlignment="1">
      <alignment horizontal="justify" vertical="center"/>
    </xf>
    <xf numFmtId="9" fontId="15" fillId="0" borderId="0" xfId="0" applyNumberFormat="1" applyFont="1" applyAlignment="1">
      <alignment horizontal="justify" vertical="center"/>
    </xf>
    <xf numFmtId="166" fontId="0" fillId="0" borderId="0" xfId="0" applyNumberFormat="1"/>
    <xf numFmtId="0" fontId="1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4" fillId="0" borderId="0" xfId="0" applyFont="1" applyAlignment="1">
      <alignment horizontal="right"/>
    </xf>
    <xf numFmtId="0" fontId="16" fillId="0" borderId="0" xfId="0" applyFont="1" applyAlignment="1">
      <alignment horizontal="justify" vertical="center"/>
    </xf>
    <xf numFmtId="0" fontId="17" fillId="0" borderId="0" xfId="0" applyFont="1" applyAlignment="1">
      <alignment horizontal="justify"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14" fontId="0" fillId="0" borderId="0" xfId="0" applyNumberFormat="1"/>
    <xf numFmtId="0" fontId="19" fillId="0" borderId="0" xfId="0" applyFont="1"/>
    <xf numFmtId="0" fontId="4" fillId="2" borderId="0" xfId="0" applyFont="1" applyFill="1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4" fillId="0" borderId="0" xfId="0" applyFont="1" applyAlignment="1">
      <alignment horizontal="center"/>
    </xf>
    <xf numFmtId="164" fontId="2" fillId="2" borderId="0" xfId="1" applyFont="1" applyFill="1" applyBorder="1"/>
    <xf numFmtId="9" fontId="2" fillId="2" borderId="0" xfId="0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 applyAlignment="1">
      <alignment horizontal="right"/>
    </xf>
    <xf numFmtId="0" fontId="4" fillId="0" borderId="0" xfId="0" applyFont="1" applyAlignment="1">
      <alignment horizontal="right"/>
    </xf>
    <xf numFmtId="167" fontId="2" fillId="0" borderId="0" xfId="1" applyNumberFormat="1" applyFont="1"/>
    <xf numFmtId="0" fontId="4" fillId="0" borderId="0" xfId="0" applyFont="1" applyAlignment="1">
      <alignment horizontal="left" vertical="center"/>
    </xf>
    <xf numFmtId="9" fontId="2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4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168" fontId="2" fillId="0" borderId="0" xfId="0" applyNumberFormat="1" applyFont="1"/>
    <xf numFmtId="0" fontId="2" fillId="0" borderId="5" xfId="0" applyFont="1" applyBorder="1"/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3" fontId="2" fillId="0" borderId="5" xfId="0" applyNumberFormat="1" applyFont="1" applyBorder="1"/>
    <xf numFmtId="9" fontId="2" fillId="0" borderId="5" xfId="0" applyNumberFormat="1" applyFont="1" applyBorder="1"/>
    <xf numFmtId="0" fontId="20" fillId="0" borderId="0" xfId="0" applyFont="1" applyAlignment="1">
      <alignment horizontal="center"/>
    </xf>
    <xf numFmtId="165" fontId="2" fillId="0" borderId="0" xfId="1" applyNumberFormat="1" applyFont="1" applyFill="1" applyBorder="1"/>
    <xf numFmtId="38" fontId="2" fillId="0" borderId="0" xfId="0" applyNumberFormat="1" applyFont="1"/>
    <xf numFmtId="167" fontId="2" fillId="0" borderId="0" xfId="1" applyNumberFormat="1" applyFont="1" applyAlignment="1">
      <alignment horizontal="right"/>
    </xf>
    <xf numFmtId="167" fontId="3" fillId="0" borderId="0" xfId="1" applyNumberFormat="1" applyFont="1"/>
    <xf numFmtId="0" fontId="10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165" fontId="0" fillId="0" borderId="0" xfId="1" applyNumberFormat="1" applyFont="1"/>
    <xf numFmtId="0" fontId="5" fillId="2" borderId="0" xfId="0" applyFont="1" applyFill="1" applyAlignment="1">
      <alignment horizontal="left"/>
    </xf>
    <xf numFmtId="0" fontId="21" fillId="0" borderId="0" xfId="0" applyFont="1"/>
    <xf numFmtId="167" fontId="7" fillId="0" borderId="0" xfId="1" applyNumberFormat="1" applyFont="1" applyAlignment="1"/>
    <xf numFmtId="0" fontId="22" fillId="0" borderId="0" xfId="0" applyFont="1"/>
    <xf numFmtId="0" fontId="7" fillId="0" borderId="0" xfId="2" applyFont="1"/>
    <xf numFmtId="167" fontId="7" fillId="0" borderId="0" xfId="1" applyNumberFormat="1" applyFont="1"/>
    <xf numFmtId="167" fontId="21" fillId="0" borderId="0" xfId="1" applyNumberFormat="1" applyFont="1"/>
    <xf numFmtId="3" fontId="7" fillId="0" borderId="0" xfId="0" applyNumberFormat="1" applyFont="1" applyAlignment="1">
      <alignment horizontal="center"/>
    </xf>
    <xf numFmtId="0" fontId="5" fillId="0" borderId="0" xfId="2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3" fillId="0" borderId="0" xfId="0" applyFont="1"/>
    <xf numFmtId="0" fontId="28" fillId="0" borderId="0" xfId="0" applyFont="1" applyAlignment="1">
      <alignment vertical="center"/>
    </xf>
    <xf numFmtId="0" fontId="28" fillId="0" borderId="0" xfId="0" applyFont="1"/>
    <xf numFmtId="0" fontId="30" fillId="0" borderId="0" xfId="0" applyFont="1"/>
    <xf numFmtId="0" fontId="29" fillId="0" borderId="0" xfId="0" applyFont="1"/>
    <xf numFmtId="0" fontId="31" fillId="0" borderId="0" xfId="0" applyFont="1" applyAlignment="1">
      <alignment horizontal="left" vertical="center" indent="4"/>
    </xf>
    <xf numFmtId="0" fontId="28" fillId="0" borderId="0" xfId="0" applyFont="1" applyAlignment="1">
      <alignment horizontal="left" vertical="top"/>
    </xf>
    <xf numFmtId="0" fontId="28" fillId="0" borderId="0" xfId="0" applyFont="1" applyAlignment="1">
      <alignment horizontal="left" vertical="center" indent="1"/>
    </xf>
    <xf numFmtId="0" fontId="30" fillId="0" borderId="0" xfId="0" applyFont="1" applyAlignment="1">
      <alignment vertical="center"/>
    </xf>
    <xf numFmtId="0" fontId="9" fillId="0" borderId="0" xfId="0" applyFont="1"/>
    <xf numFmtId="0" fontId="2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23" fillId="0" borderId="0" xfId="0" applyFont="1" applyAlignment="1"/>
    <xf numFmtId="165" fontId="2" fillId="0" borderId="0" xfId="1" applyNumberFormat="1" applyFont="1"/>
    <xf numFmtId="15" fontId="2" fillId="0" borderId="0" xfId="0" applyNumberFormat="1" applyFont="1"/>
    <xf numFmtId="165" fontId="2" fillId="0" borderId="0" xfId="0" applyNumberFormat="1" applyFont="1"/>
    <xf numFmtId="165" fontId="4" fillId="0" borderId="0" xfId="0" applyNumberFormat="1" applyFont="1"/>
    <xf numFmtId="9" fontId="4" fillId="0" borderId="0" xfId="0" applyNumberFormat="1" applyFont="1"/>
    <xf numFmtId="43" fontId="2" fillId="0" borderId="0" xfId="0" applyNumberFormat="1" applyFont="1"/>
    <xf numFmtId="0" fontId="2" fillId="0" borderId="0" xfId="0" applyFont="1" applyAlignment="1">
      <alignment horizontal="centerContinuous"/>
    </xf>
    <xf numFmtId="165" fontId="2" fillId="0" borderId="0" xfId="1" quotePrefix="1" applyNumberFormat="1" applyFont="1"/>
    <xf numFmtId="8" fontId="2" fillId="0" borderId="0" xfId="0" applyNumberFormat="1" applyFont="1"/>
    <xf numFmtId="165" fontId="2" fillId="0" borderId="0" xfId="1" applyNumberFormat="1" applyFont="1" applyFill="1"/>
    <xf numFmtId="0" fontId="0" fillId="0" borderId="0" xfId="0" applyFill="1" applyBorder="1" applyAlignment="1"/>
    <xf numFmtId="9" fontId="0" fillId="0" borderId="0" xfId="0" applyNumberFormat="1" applyFill="1" applyBorder="1" applyAlignment="1"/>
    <xf numFmtId="165" fontId="0" fillId="0" borderId="7" xfId="0" applyNumberFormat="1" applyFill="1" applyBorder="1" applyAlignment="1"/>
    <xf numFmtId="0" fontId="33" fillId="3" borderId="8" xfId="0" applyFont="1" applyFill="1" applyBorder="1" applyAlignment="1">
      <alignment horizontal="left"/>
    </xf>
    <xf numFmtId="0" fontId="33" fillId="3" borderId="6" xfId="0" applyFont="1" applyFill="1" applyBorder="1" applyAlignment="1">
      <alignment horizontal="left"/>
    </xf>
    <xf numFmtId="0" fontId="0" fillId="0" borderId="9" xfId="0" applyFill="1" applyBorder="1" applyAlignment="1"/>
    <xf numFmtId="0" fontId="34" fillId="4" borderId="0" xfId="0" applyFont="1" applyFill="1" applyBorder="1" applyAlignment="1">
      <alignment horizontal="left"/>
    </xf>
    <xf numFmtId="0" fontId="35" fillId="4" borderId="9" xfId="0" applyFont="1" applyFill="1" applyBorder="1" applyAlignment="1">
      <alignment horizontal="left"/>
    </xf>
    <xf numFmtId="0" fontId="34" fillId="4" borderId="7" xfId="0" applyFont="1" applyFill="1" applyBorder="1" applyAlignment="1">
      <alignment horizontal="left"/>
    </xf>
    <xf numFmtId="0" fontId="36" fillId="3" borderId="6" xfId="0" applyFont="1" applyFill="1" applyBorder="1" applyAlignment="1">
      <alignment horizontal="right"/>
    </xf>
    <xf numFmtId="0" fontId="36" fillId="3" borderId="8" xfId="0" applyFont="1" applyFill="1" applyBorder="1" applyAlignment="1">
      <alignment horizontal="right"/>
    </xf>
    <xf numFmtId="9" fontId="0" fillId="5" borderId="0" xfId="0" applyNumberFormat="1" applyFill="1" applyBorder="1" applyAlignment="1"/>
    <xf numFmtId="0" fontId="0" fillId="5" borderId="0" xfId="0" applyFill="1" applyBorder="1" applyAlignment="1"/>
    <xf numFmtId="0" fontId="37" fillId="0" borderId="0" xfId="0" applyFont="1" applyFill="1" applyBorder="1" applyAlignment="1">
      <alignment vertical="top" wrapText="1"/>
    </xf>
    <xf numFmtId="0" fontId="35" fillId="4" borderId="5" xfId="0" applyFont="1" applyFill="1" applyBorder="1" applyAlignment="1">
      <alignment horizontal="left"/>
    </xf>
    <xf numFmtId="0" fontId="36" fillId="3" borderId="5" xfId="0" applyFont="1" applyFill="1" applyBorder="1" applyAlignment="1">
      <alignment horizontal="right"/>
    </xf>
    <xf numFmtId="0" fontId="34" fillId="4" borderId="5" xfId="0" applyFont="1" applyFill="1" applyBorder="1" applyAlignment="1">
      <alignment horizontal="left"/>
    </xf>
    <xf numFmtId="9" fontId="0" fillId="0" borderId="5" xfId="0" applyNumberFormat="1" applyFill="1" applyBorder="1" applyAlignment="1"/>
    <xf numFmtId="9" fontId="0" fillId="5" borderId="5" xfId="0" applyNumberFormat="1" applyFill="1" applyBorder="1" applyAlignment="1"/>
    <xf numFmtId="0" fontId="0" fillId="0" borderId="5" xfId="0" applyFill="1" applyBorder="1" applyAlignment="1"/>
    <xf numFmtId="0" fontId="0" fillId="5" borderId="5" xfId="0" applyFill="1" applyBorder="1" applyAlignment="1"/>
    <xf numFmtId="165" fontId="0" fillId="0" borderId="5" xfId="0" applyNumberFormat="1" applyFill="1" applyBorder="1" applyAlignment="1"/>
    <xf numFmtId="0" fontId="2" fillId="6" borderId="0" xfId="0" applyFont="1" applyFill="1"/>
    <xf numFmtId="49" fontId="2" fillId="6" borderId="0" xfId="0" applyNumberFormat="1" applyFont="1" applyFill="1"/>
    <xf numFmtId="49" fontId="2" fillId="0" borderId="0" xfId="0" applyNumberFormat="1" applyFont="1"/>
    <xf numFmtId="2" fontId="2" fillId="0" borderId="0" xfId="0" applyNumberFormat="1" applyFont="1"/>
    <xf numFmtId="165" fontId="3" fillId="0" borderId="0" xfId="0" applyNumberFormat="1" applyFont="1"/>
    <xf numFmtId="0" fontId="4" fillId="0" borderId="0" xfId="0" applyFont="1" applyAlignment="1">
      <alignment horizontal="left" vertical="center" indent="1"/>
    </xf>
    <xf numFmtId="10" fontId="3" fillId="0" borderId="0" xfId="0" applyNumberFormat="1" applyFont="1"/>
    <xf numFmtId="0" fontId="39" fillId="0" borderId="5" xfId="0" applyFont="1" applyBorder="1"/>
    <xf numFmtId="0" fontId="3" fillId="7" borderId="0" xfId="0" applyFont="1" applyFill="1"/>
    <xf numFmtId="165" fontId="3" fillId="7" borderId="0" xfId="0" applyNumberFormat="1" applyFont="1" applyFill="1"/>
    <xf numFmtId="0" fontId="3" fillId="8" borderId="0" xfId="0" applyFont="1" applyFill="1"/>
    <xf numFmtId="165" fontId="3" fillId="8" borderId="0" xfId="0" applyNumberFormat="1" applyFont="1" applyFill="1"/>
    <xf numFmtId="165" fontId="3" fillId="0" borderId="0" xfId="1" applyNumberFormat="1" applyFont="1"/>
    <xf numFmtId="165" fontId="3" fillId="0" borderId="0" xfId="0" applyNumberFormat="1" applyFont="1" applyFill="1"/>
    <xf numFmtId="0" fontId="3" fillId="0" borderId="0" xfId="0" applyFont="1" applyFill="1"/>
    <xf numFmtId="2" fontId="2" fillId="0" borderId="5" xfId="0" applyNumberFormat="1" applyFont="1" applyBorder="1"/>
    <xf numFmtId="0" fontId="40" fillId="0" borderId="0" xfId="0" applyFont="1"/>
    <xf numFmtId="169" fontId="2" fillId="0" borderId="0" xfId="0" applyNumberFormat="1" applyFont="1"/>
    <xf numFmtId="165" fontId="10" fillId="0" borderId="0" xfId="1" applyNumberFormat="1" applyFont="1" applyAlignment="1">
      <alignment vertical="center"/>
    </xf>
    <xf numFmtId="165" fontId="2" fillId="0" borderId="0" xfId="0" applyNumberFormat="1" applyFont="1" applyAlignment="1">
      <alignment horizontal="center" vertical="center" wrapText="1"/>
    </xf>
    <xf numFmtId="9" fontId="2" fillId="0" borderId="0" xfId="3" applyFont="1"/>
    <xf numFmtId="0" fontId="41" fillId="3" borderId="8" xfId="0" applyFont="1" applyFill="1" applyBorder="1" applyAlignment="1">
      <alignment horizontal="left"/>
    </xf>
    <xf numFmtId="0" fontId="41" fillId="3" borderId="6" xfId="0" applyFont="1" applyFill="1" applyBorder="1" applyAlignment="1">
      <alignment horizontal="left"/>
    </xf>
    <xf numFmtId="0" fontId="42" fillId="4" borderId="0" xfId="0" applyFont="1" applyFill="1" applyBorder="1" applyAlignment="1">
      <alignment horizontal="left"/>
    </xf>
    <xf numFmtId="0" fontId="43" fillId="4" borderId="9" xfId="0" applyFont="1" applyFill="1" applyBorder="1" applyAlignment="1">
      <alignment horizontal="left"/>
    </xf>
    <xf numFmtId="0" fontId="42" fillId="4" borderId="7" xfId="0" applyFont="1" applyFill="1" applyBorder="1" applyAlignment="1">
      <alignment horizontal="left"/>
    </xf>
    <xf numFmtId="165" fontId="2" fillId="0" borderId="0" xfId="1" applyNumberFormat="1" applyFont="1" applyAlignment="1">
      <alignment horizontal="center" vertical="center" wrapText="1"/>
    </xf>
    <xf numFmtId="9" fontId="4" fillId="0" borderId="0" xfId="3" applyFont="1" applyAlignment="1">
      <alignment vertical="center"/>
    </xf>
    <xf numFmtId="165" fontId="0" fillId="0" borderId="0" xfId="0" applyNumberFormat="1" applyFill="1" applyBorder="1" applyAlignment="1"/>
    <xf numFmtId="165" fontId="0" fillId="5" borderId="0" xfId="0" applyNumberFormat="1" applyFill="1" applyBorder="1" applyAlignment="1"/>
    <xf numFmtId="0" fontId="45" fillId="0" borderId="0" xfId="0" applyFont="1"/>
    <xf numFmtId="9" fontId="7" fillId="0" borderId="0" xfId="3" applyFont="1" applyAlignment="1"/>
    <xf numFmtId="0" fontId="46" fillId="0" borderId="0" xfId="0" applyFont="1"/>
    <xf numFmtId="0" fontId="47" fillId="0" borderId="0" xfId="0" applyFont="1"/>
    <xf numFmtId="165" fontId="47" fillId="0" borderId="0" xfId="1" applyNumberFormat="1" applyFont="1" applyBorder="1"/>
    <xf numFmtId="165" fontId="46" fillId="0" borderId="0" xfId="1" applyNumberFormat="1" applyFont="1" applyBorder="1"/>
    <xf numFmtId="167" fontId="46" fillId="0" borderId="0" xfId="1" applyNumberFormat="1" applyFont="1"/>
    <xf numFmtId="167" fontId="46" fillId="0" borderId="0" xfId="1" applyNumberFormat="1" applyFont="1" applyAlignment="1">
      <alignment horizontal="right"/>
    </xf>
    <xf numFmtId="170" fontId="47" fillId="0" borderId="0" xfId="1" applyNumberFormat="1" applyFont="1" applyBorder="1"/>
    <xf numFmtId="167" fontId="48" fillId="0" borderId="0" xfId="1" applyNumberFormat="1" applyFont="1"/>
    <xf numFmtId="167" fontId="48" fillId="0" borderId="0" xfId="1" applyNumberFormat="1" applyFont="1" applyAlignment="1">
      <alignment horizontal="right"/>
    </xf>
    <xf numFmtId="0" fontId="48" fillId="0" borderId="0" xfId="0" applyFont="1"/>
    <xf numFmtId="0" fontId="48" fillId="0" borderId="0" xfId="2" applyFont="1" applyAlignment="1">
      <alignment horizontal="right"/>
    </xf>
    <xf numFmtId="0" fontId="49" fillId="0" borderId="0" xfId="2" applyFont="1" applyAlignment="1">
      <alignment horizontal="right"/>
    </xf>
    <xf numFmtId="0" fontId="48" fillId="0" borderId="0" xfId="2" applyFont="1"/>
    <xf numFmtId="165" fontId="47" fillId="0" borderId="0" xfId="0" applyNumberFormat="1" applyFont="1"/>
    <xf numFmtId="9" fontId="48" fillId="0" borderId="0" xfId="2" applyNumberFormat="1" applyFont="1"/>
    <xf numFmtId="0" fontId="46" fillId="0" borderId="0" xfId="0" applyFont="1" applyAlignment="1">
      <alignment horizontal="left"/>
    </xf>
    <xf numFmtId="0" fontId="50" fillId="0" borderId="0" xfId="2" applyFont="1"/>
    <xf numFmtId="167" fontId="50" fillId="0" borderId="0" xfId="1" applyNumberFormat="1" applyFont="1" applyAlignment="1"/>
    <xf numFmtId="0" fontId="50" fillId="0" borderId="0" xfId="0" applyFont="1"/>
    <xf numFmtId="0" fontId="7" fillId="0" borderId="0" xfId="0" applyFont="1" applyAlignment="1">
      <alignment horizontal="right"/>
    </xf>
    <xf numFmtId="171" fontId="7" fillId="0" borderId="0" xfId="0" applyNumberFormat="1" applyFont="1"/>
    <xf numFmtId="167" fontId="7" fillId="0" borderId="0" xfId="0" applyNumberFormat="1" applyFont="1" applyAlignment="1">
      <alignment horizontal="right"/>
    </xf>
    <xf numFmtId="167" fontId="7" fillId="0" borderId="0" xfId="0" applyNumberFormat="1" applyFont="1"/>
    <xf numFmtId="167" fontId="0" fillId="0" borderId="0" xfId="0" applyNumberFormat="1"/>
    <xf numFmtId="43" fontId="7" fillId="0" borderId="0" xfId="0" applyNumberFormat="1" applyFont="1"/>
    <xf numFmtId="43" fontId="0" fillId="0" borderId="0" xfId="0" applyNumberFormat="1"/>
    <xf numFmtId="167" fontId="2" fillId="0" borderId="0" xfId="0" applyNumberFormat="1" applyFont="1"/>
    <xf numFmtId="10" fontId="7" fillId="0" borderId="0" xfId="3" applyNumberFormat="1" applyFont="1" applyAlignment="1"/>
    <xf numFmtId="164" fontId="7" fillId="0" borderId="0" xfId="1" applyNumberFormat="1" applyFont="1" applyAlignment="1"/>
    <xf numFmtId="8" fontId="0" fillId="0" borderId="0" xfId="0" applyNumberFormat="1"/>
    <xf numFmtId="164" fontId="48" fillId="0" borderId="0" xfId="0" applyNumberFormat="1" applyFont="1"/>
    <xf numFmtId="172" fontId="47" fillId="0" borderId="0" xfId="3" applyNumberFormat="1" applyFont="1" applyBorder="1"/>
    <xf numFmtId="172" fontId="7" fillId="0" borderId="0" xfId="3" applyNumberFormat="1" applyFont="1" applyAlignment="1"/>
    <xf numFmtId="9" fontId="7" fillId="0" borderId="0" xfId="0" applyNumberFormat="1" applyFont="1"/>
    <xf numFmtId="172" fontId="7" fillId="0" borderId="0" xfId="0" applyNumberFormat="1" applyFont="1"/>
    <xf numFmtId="173" fontId="0" fillId="0" borderId="0" xfId="3" applyNumberFormat="1" applyFont="1"/>
    <xf numFmtId="0" fontId="7" fillId="0" borderId="5" xfId="0" applyFont="1" applyBorder="1"/>
    <xf numFmtId="9" fontId="7" fillId="0" borderId="5" xfId="3" applyFont="1" applyBorder="1" applyAlignment="1"/>
    <xf numFmtId="164" fontId="7" fillId="0" borderId="5" xfId="3" applyNumberFormat="1" applyFont="1" applyBorder="1" applyAlignment="1"/>
    <xf numFmtId="167" fontId="7" fillId="0" borderId="5" xfId="1" applyNumberFormat="1" applyFont="1" applyBorder="1"/>
    <xf numFmtId="0" fontId="0" fillId="0" borderId="5" xfId="0" applyBorder="1"/>
    <xf numFmtId="167" fontId="21" fillId="0" borderId="5" xfId="1" applyNumberFormat="1" applyFont="1" applyBorder="1"/>
    <xf numFmtId="167" fontId="2" fillId="0" borderId="5" xfId="1" applyNumberFormat="1" applyFont="1" applyBorder="1"/>
    <xf numFmtId="0" fontId="4" fillId="0" borderId="0" xfId="0" applyFont="1" applyAlignment="1">
      <alignment horizontal="right"/>
    </xf>
    <xf numFmtId="165" fontId="47" fillId="0" borderId="0" xfId="1" applyNumberFormat="1" applyFont="1"/>
    <xf numFmtId="1" fontId="47" fillId="0" borderId="0" xfId="1" applyNumberFormat="1" applyFont="1"/>
    <xf numFmtId="174" fontId="47" fillId="0" borderId="0" xfId="3" applyNumberFormat="1" applyFont="1"/>
    <xf numFmtId="166" fontId="0" fillId="0" borderId="0" xfId="3" applyNumberFormat="1" applyFont="1"/>
    <xf numFmtId="165" fontId="0" fillId="0" borderId="0" xfId="0" applyNumberFormat="1"/>
    <xf numFmtId="2" fontId="0" fillId="0" borderId="0" xfId="0" applyNumberFormat="1"/>
    <xf numFmtId="0" fontId="14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2" fillId="2" borderId="0" xfId="0" applyFont="1" applyFill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2" fillId="0" borderId="0" xfId="0" applyFont="1"/>
    <xf numFmtId="9" fontId="0" fillId="0" borderId="0" xfId="0" applyNumberFormat="1"/>
    <xf numFmtId="0" fontId="51" fillId="0" borderId="0" xfId="0" applyFont="1"/>
    <xf numFmtId="165" fontId="51" fillId="0" borderId="0" xfId="1" applyNumberFormat="1" applyFont="1"/>
    <xf numFmtId="174" fontId="0" fillId="0" borderId="0" xfId="3" applyNumberFormat="1" applyFont="1"/>
    <xf numFmtId="10" fontId="0" fillId="0" borderId="0" xfId="3" applyNumberFormat="1" applyFont="1"/>
    <xf numFmtId="172" fontId="0" fillId="0" borderId="0" xfId="3" applyNumberFormat="1" applyFont="1"/>
    <xf numFmtId="172" fontId="0" fillId="0" borderId="0" xfId="0" applyNumberFormat="1"/>
    <xf numFmtId="176" fontId="0" fillId="0" borderId="0" xfId="0" applyNumberFormat="1"/>
    <xf numFmtId="178" fontId="0" fillId="0" borderId="0" xfId="3" applyNumberFormat="1" applyFont="1"/>
    <xf numFmtId="179" fontId="0" fillId="0" borderId="0" xfId="0" applyNumberFormat="1"/>
  </cellXfs>
  <cellStyles count="4">
    <cellStyle name="Comma" xfId="1" builtinId="3"/>
    <cellStyle name="Normal" xfId="0" builtinId="0"/>
    <cellStyle name="Normal 2" xfId="2" xr:uid="{18627245-8BDC-4B19-A6B7-384EE4417C4B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 line graph showing outstanding bal % against months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'BDA PILOT DEC 2022 Q23'!$AR$109</c:f>
              <c:strCache>
                <c:ptCount val="1"/>
                <c:pt idx="0">
                  <c:v>outstanding bal %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'BDA PILOT DEC 2022 Q23'!$AQ$110:$AQ$145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</c:numCache>
            </c:numRef>
          </c:xVal>
          <c:yVal>
            <c:numRef>
              <c:f>'BDA PILOT DEC 2022 Q23'!$AR$110:$AR$145</c:f>
              <c:numCache>
                <c:formatCode>0.0000</c:formatCode>
                <c:ptCount val="36"/>
                <c:pt idx="0">
                  <c:v>0.97713938133004152</c:v>
                </c:pt>
                <c:pt idx="1">
                  <c:v>0.95403110595782514</c:v>
                </c:pt>
                <c:pt idx="2">
                  <c:v>0.93067249093574322</c:v>
                </c:pt>
                <c:pt idx="3">
                  <c:v>0.90706082425092205</c:v>
                </c:pt>
                <c:pt idx="4">
                  <c:v>0.88319336451034858</c:v>
                </c:pt>
                <c:pt idx="5">
                  <c:v>0.8590673406225855</c:v>
                </c:pt>
                <c:pt idx="6">
                  <c:v>0.83467995147603835</c:v>
                </c:pt>
                <c:pt idx="7">
                  <c:v>0.81002836561373703</c:v>
                </c:pt>
                <c:pt idx="8">
                  <c:v>0.78510972090459408</c:v>
                </c:pt>
                <c:pt idx="9">
                  <c:v>0.75992112421110203</c:v>
                </c:pt>
                <c:pt idx="10">
                  <c:v>0.73445965105343058</c:v>
                </c:pt>
                <c:pt idx="11">
                  <c:v>0.70872234526988431</c:v>
                </c:pt>
                <c:pt idx="12">
                  <c:v>0.68270621867368286</c:v>
                </c:pt>
                <c:pt idx="13">
                  <c:v>0.65640825070602271</c:v>
                </c:pt>
                <c:pt idx="14">
                  <c:v>0.62982538808537947</c:v>
                </c:pt>
                <c:pt idx="15">
                  <c:v>0.60295454445301266</c:v>
                </c:pt>
                <c:pt idx="16">
                  <c:v>0.57579260001462851</c:v>
                </c:pt>
                <c:pt idx="17">
                  <c:v>0.54833640117816185</c:v>
                </c:pt>
                <c:pt idx="18">
                  <c:v>0.52058276018763339</c:v>
                </c:pt>
                <c:pt idx="19">
                  <c:v>0.49252845475304108</c:v>
                </c:pt>
                <c:pt idx="20">
                  <c:v>0.46417022767624061</c:v>
                </c:pt>
                <c:pt idx="21">
                  <c:v>0.43550478647277474</c:v>
                </c:pt>
                <c:pt idx="22">
                  <c:v>0.4065288029896047</c:v>
                </c:pt>
                <c:pt idx="23">
                  <c:v>0.37723891301870027</c:v>
                </c:pt>
                <c:pt idx="24">
                  <c:v>0.34763171590644443</c:v>
                </c:pt>
                <c:pt idx="25">
                  <c:v>0.3177037741588058</c:v>
                </c:pt>
                <c:pt idx="26">
                  <c:v>0.28745161304223443</c:v>
                </c:pt>
                <c:pt idx="27">
                  <c:v>0.25687172018023352</c:v>
                </c:pt>
                <c:pt idx="28">
                  <c:v>0.22596054514556094</c:v>
                </c:pt>
                <c:pt idx="29">
                  <c:v>0.19471449904801275</c:v>
                </c:pt>
                <c:pt idx="30">
                  <c:v>0.16312995411774112</c:v>
                </c:pt>
                <c:pt idx="31">
                  <c:v>0.13120324328405819</c:v>
                </c:pt>
                <c:pt idx="32">
                  <c:v>9.8930659749677061E-2</c:v>
                </c:pt>
                <c:pt idx="33">
                  <c:v>6.6308456560340123E-2</c:v>
                </c:pt>
                <c:pt idx="34">
                  <c:v>3.3332846169785373E-2</c:v>
                </c:pt>
                <c:pt idx="35">
                  <c:v>-3.9115548133850098E-16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1A5-4351-BA8E-F6E445205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0449984"/>
        <c:axId val="1850445824"/>
      </c:scatterChart>
      <c:valAx>
        <c:axId val="1850449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50445824"/>
        <c:crosses val="autoZero"/>
        <c:crossBetween val="midCat"/>
      </c:valAx>
      <c:valAx>
        <c:axId val="185044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outstanding balance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504499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'BDA PILOT DEC 2022 Q23'!$I$29</c:f>
              <c:strCache>
                <c:ptCount val="1"/>
                <c:pt idx="0">
                  <c:v>NPV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'BDA PILOT DEC 2022 Q23'!$H$30:$H$33</c:f>
              <c:strCache>
                <c:ptCount val="4"/>
                <c:pt idx="0">
                  <c:v>DEFAULT SCENARIO</c:v>
                </c:pt>
                <c:pt idx="1">
                  <c:v>SCENARIO 1</c:v>
                </c:pt>
                <c:pt idx="2">
                  <c:v>SCENARIO 2</c:v>
                </c:pt>
                <c:pt idx="3">
                  <c:v>SCENARIO 3</c:v>
                </c:pt>
              </c:strCache>
            </c:strRef>
          </c:cat>
          <c:val>
            <c:numRef>
              <c:f>'BDA PILOT DEC 2022 Q23'!$I$30:$I$33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2402158.8812634302</c:v>
                </c:pt>
                <c:pt idx="2">
                  <c:v>4763339.6544184098</c:v>
                </c:pt>
                <c:pt idx="3">
                  <c:v>12027075.9988764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26-4F95-8B4E-323E9F29D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3989216"/>
        <c:axId val="1813991296"/>
      </c:barChart>
      <c:catAx>
        <c:axId val="1813989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3991296"/>
        <c:crosses val="autoZero"/>
        <c:auto val="1"/>
        <c:lblAlgn val="ctr"/>
        <c:lblOffset val="100"/>
        <c:noMultiLvlLbl val="0"/>
      </c:catAx>
      <c:valAx>
        <c:axId val="1813991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3989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'BDA DECEMBER 2024 Q22'!$P$21</c:f>
              <c:strCache>
                <c:ptCount val="1"/>
                <c:pt idx="0">
                  <c:v> NPV </c:v>
                </c:pt>
              </c:strCache>
            </c:strRef>
          </c:tx>
          <c:spPr>
            <a:ln w="9525" cap="rnd">
              <a:solidFill>
                <a:schemeClr val="accent1">
                  <a:alpha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'BDA DECEMBER 2024 Q22'!$O$22:$O$36</c:f>
              <c:numCache>
                <c:formatCode>0.0%</c:formatCode>
                <c:ptCount val="15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</c:numCache>
            </c:numRef>
          </c:xVal>
          <c:yVal>
            <c:numRef>
              <c:f>'BDA DECEMBER 2024 Q22'!$P$22:$P$36</c:f>
              <c:numCache>
                <c:formatCode>_(* #,##0_);_(* \(#,##0\);_(* "-"??_);_(@_)</c:formatCode>
                <c:ptCount val="15"/>
                <c:pt idx="0">
                  <c:v>93991422.416561007</c:v>
                </c:pt>
                <c:pt idx="1">
                  <c:v>74839519.224058151</c:v>
                </c:pt>
                <c:pt idx="2">
                  <c:v>56587243.908314824</c:v>
                </c:pt>
                <c:pt idx="3">
                  <c:v>39181552.28821981</c:v>
                </c:pt>
                <c:pt idx="4">
                  <c:v>22573082.791047573</c:v>
                </c:pt>
                <c:pt idx="5">
                  <c:v>6715865.2161753178</c:v>
                </c:pt>
                <c:pt idx="6">
                  <c:v>-8432944.8034669161</c:v>
                </c:pt>
                <c:pt idx="7">
                  <c:v>-22913308.135595381</c:v>
                </c:pt>
                <c:pt idx="8">
                  <c:v>-36762523.508660913</c:v>
                </c:pt>
                <c:pt idx="9">
                  <c:v>-50015429.894878209</c:v>
                </c:pt>
                <c:pt idx="10">
                  <c:v>-62704591.706349671</c:v>
                </c:pt>
                <c:pt idx="11">
                  <c:v>-74860468.410669804</c:v>
                </c:pt>
                <c:pt idx="12">
                  <c:v>-86511570.008969188</c:v>
                </c:pt>
                <c:pt idx="13">
                  <c:v>-97684599.673882842</c:v>
                </c:pt>
                <c:pt idx="14">
                  <c:v>-108404584.71526444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CE4-4439-AECB-76B37AC72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7143071"/>
        <c:axId val="657145151"/>
      </c:scatterChart>
      <c:valAx>
        <c:axId val="6571430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7145151"/>
        <c:crosses val="autoZero"/>
        <c:crossBetween val="midCat"/>
      </c:valAx>
      <c:valAx>
        <c:axId val="6571451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7143071"/>
        <c:crosses val="autoZero"/>
        <c:crossBetween val="midCat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a clustered column showing NPV under different variables</a:t>
            </a:r>
          </a:p>
        </c:rich>
      </c:tx>
      <c:layout>
        <c:manualLayout>
          <c:xMode val="edge"/>
          <c:yMode val="edge"/>
          <c:x val="0.1642596991290578"/>
          <c:y val="1.4781428183546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'BDA APRIL 2025 Q22'!$E$69</c:f>
              <c:strCache>
                <c:ptCount val="1"/>
                <c:pt idx="0">
                  <c:v>NPV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'BDA APRIL 2025 Q22'!$F$68:$L$68</c:f>
              <c:strCache>
                <c:ptCount val="7"/>
                <c:pt idx="0">
                  <c:v>Base</c:v>
                </c:pt>
                <c:pt idx="1">
                  <c:v>Initial capital outlay +7.5% </c:v>
                </c:pt>
                <c:pt idx="2">
                  <c:v>Selling price -7.5%</c:v>
                </c:pt>
                <c:pt idx="3">
                  <c:v>Variable cost+7.5%</c:v>
                </c:pt>
                <c:pt idx="4">
                  <c:v>Fixed costs+7.5%</c:v>
                </c:pt>
                <c:pt idx="5">
                  <c:v>units produced-7.5%</c:v>
                </c:pt>
                <c:pt idx="6">
                  <c:v>WACC +7.5%</c:v>
                </c:pt>
              </c:strCache>
            </c:strRef>
          </c:cat>
          <c:val>
            <c:numRef>
              <c:f>'BDA APRIL 2025 Q22'!$F$69:$L$69</c:f>
              <c:numCache>
                <c:formatCode>_(* #,##0.00_);_(* \(#,##0.00\);_(* "-"??_);_(@_)</c:formatCode>
                <c:ptCount val="7"/>
                <c:pt idx="0">
                  <c:v>6702401.4771006182</c:v>
                </c:pt>
                <c:pt idx="1">
                  <c:v>-4932542.2885073721</c:v>
                </c:pt>
                <c:pt idx="2">
                  <c:v>-8555856.8387180641</c:v>
                </c:pt>
                <c:pt idx="3">
                  <c:v>-4869199.5636127144</c:v>
                </c:pt>
                <c:pt idx="4">
                  <c:v>-1875522.9793166518</c:v>
                </c:pt>
                <c:pt idx="5">
                  <c:v>-4869199.5636127144</c:v>
                </c:pt>
                <c:pt idx="6">
                  <c:v>-2320832.7579300329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FC-49FE-80D2-87767A947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1042270944"/>
        <c:axId val="1042270528"/>
      </c:barChart>
      <c:catAx>
        <c:axId val="1042270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The changing variables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2270528"/>
        <c:crosses val="autoZero"/>
        <c:auto val="1"/>
        <c:lblAlgn val="ctr"/>
        <c:lblOffset val="100"/>
        <c:noMultiLvlLbl val="0"/>
      </c:catAx>
      <c:valAx>
        <c:axId val="1042270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NPV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2270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Ascatter graph showing NPV against</a:t>
            </a:r>
            <a:r>
              <a:rPr lang="en-US" baseline="0"/>
              <a:t> WACC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'BDA APRIL 2025 Q22'!$D$35</c:f>
              <c:strCache>
                <c:ptCount val="1"/>
                <c:pt idx="0">
                  <c:v> NPV </c:v>
                </c:pt>
              </c:strCache>
            </c:strRef>
          </c:tx>
          <c:spPr>
            <a:ln w="9525" cap="rnd">
              <a:solidFill>
                <a:schemeClr val="accent1">
                  <a:alpha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lt1"/>
              </a:solidFill>
              <a:ln w="15875">
                <a:solidFill>
                  <a:schemeClr val="accent1"/>
                </a:solidFill>
                <a:round/>
              </a:ln>
              <a:effectLst/>
            </c:spPr>
          </c:marker>
          <c:xVal>
            <c:numRef>
              <c:f>'BDA APRIL 2025 Q22'!$C$36:$C$44</c:f>
              <c:numCache>
                <c:formatCode>0%</c:formatCode>
                <c:ptCount val="9"/>
                <c:pt idx="0">
                  <c:v>0.06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0.09</c:v>
                </c:pt>
                <c:pt idx="4">
                  <c:v>0.1</c:v>
                </c:pt>
                <c:pt idx="5">
                  <c:v>0.11</c:v>
                </c:pt>
                <c:pt idx="6">
                  <c:v>0.12</c:v>
                </c:pt>
                <c:pt idx="7">
                  <c:v>0.13</c:v>
                </c:pt>
                <c:pt idx="8">
                  <c:v>0.14000000000000001</c:v>
                </c:pt>
              </c:numCache>
            </c:numRef>
          </c:xVal>
          <c:yVal>
            <c:numRef>
              <c:f>'BDA APRIL 2025 Q22'!$D$36:$D$44</c:f>
              <c:numCache>
                <c:formatCode>_-* #,##0_-;\-* #,##0_-;_-* "-"??_-;_-@_-</c:formatCode>
                <c:ptCount val="9"/>
                <c:pt idx="0">
                  <c:v>6702401.4771006182</c:v>
                </c:pt>
                <c:pt idx="1">
                  <c:v>4976925.0004890412</c:v>
                </c:pt>
                <c:pt idx="2">
                  <c:v>3330016.3559496403</c:v>
                </c:pt>
                <c:pt idx="3">
                  <c:v>1757204.4386737496</c:v>
                </c:pt>
                <c:pt idx="4">
                  <c:v>254316.95549859107</c:v>
                </c:pt>
                <c:pt idx="5">
                  <c:v>-1182542.2885073721</c:v>
                </c:pt>
                <c:pt idx="6">
                  <c:v>-2557014.178894937</c:v>
                </c:pt>
                <c:pt idx="7">
                  <c:v>-3872503.3353470862</c:v>
                </c:pt>
                <c:pt idx="8">
                  <c:v>-5132195.570931375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136-4506-8B88-B4B8B246E2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7704271"/>
        <c:axId val="727705935"/>
      </c:scatterChart>
      <c:valAx>
        <c:axId val="7277042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WACC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7705935"/>
        <c:crosses val="autoZero"/>
        <c:crossBetween val="midCat"/>
      </c:valAx>
      <c:valAx>
        <c:axId val="727705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NPV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7704271"/>
        <c:crosses val="autoZero"/>
        <c:crossBetween val="midCat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881943</xdr:colOff>
      <xdr:row>103</xdr:row>
      <xdr:rowOff>42334</xdr:rowOff>
    </xdr:from>
    <xdr:to>
      <xdr:col>52</xdr:col>
      <xdr:colOff>451554</xdr:colOff>
      <xdr:row>122</xdr:row>
      <xdr:rowOff>14111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D05AE9A-FC7E-4BA0-9EEE-755CD3743A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656167</xdr:colOff>
      <xdr:row>33</xdr:row>
      <xdr:rowOff>127000</xdr:rowOff>
    </xdr:from>
    <xdr:to>
      <xdr:col>11</xdr:col>
      <xdr:colOff>705554</xdr:colOff>
      <xdr:row>51</xdr:row>
      <xdr:rowOff>169333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049EDED-43C7-4A9F-97F4-338C7D1074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152400</xdr:colOff>
      <xdr:row>25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27C4EE-400A-4F00-8C08-A85936EB8D44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8921" r="12339" b="12970"/>
        <a:stretch/>
      </xdr:blipFill>
      <xdr:spPr bwMode="auto">
        <a:xfrm>
          <a:off x="0" y="0"/>
          <a:ext cx="7467600" cy="4867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466724</xdr:colOff>
      <xdr:row>21</xdr:row>
      <xdr:rowOff>133351</xdr:rowOff>
    </xdr:from>
    <xdr:to>
      <xdr:col>30</xdr:col>
      <xdr:colOff>501649</xdr:colOff>
      <xdr:row>36</xdr:row>
      <xdr:rowOff>158750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53567E5-D1D8-4169-87EA-1E113B35A3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946150</xdr:colOff>
      <xdr:row>69</xdr:row>
      <xdr:rowOff>76200</xdr:rowOff>
    </xdr:from>
    <xdr:to>
      <xdr:col>10</xdr:col>
      <xdr:colOff>1727200</xdr:colOff>
      <xdr:row>81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C86F43C-3AD3-4C87-B929-D67CF33775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1790700</xdr:colOff>
      <xdr:row>44</xdr:row>
      <xdr:rowOff>85725</xdr:rowOff>
    </xdr:from>
    <xdr:to>
      <xdr:col>4</xdr:col>
      <xdr:colOff>1530350</xdr:colOff>
      <xdr:row>56</xdr:row>
      <xdr:rowOff>165101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A6D787D-CD0A-47A2-A457-6A64062909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138FA-99CB-400C-8B24-11408D857416}">
  <sheetPr>
    <outlinePr summaryBelow="0"/>
  </sheetPr>
  <dimension ref="B1:H12"/>
  <sheetViews>
    <sheetView showGridLines="0" workbookViewId="0">
      <selection activeCell="D17" sqref="D17"/>
    </sheetView>
  </sheetViews>
  <sheetFormatPr defaultRowHeight="14.5" outlineLevelRow="1" outlineLevelCol="1"/>
  <cols>
    <col min="3" max="3" width="14.1796875" bestFit="1" customWidth="1"/>
    <col min="4" max="8" width="12.54296875" bestFit="1" customWidth="1" outlineLevel="1"/>
  </cols>
  <sheetData>
    <row r="1" spans="2:8" ht="15" thickBot="1"/>
    <row r="2" spans="2:8" ht="15.5">
      <c r="B2" s="131" t="s">
        <v>368</v>
      </c>
      <c r="C2" s="131"/>
      <c r="D2" s="136"/>
      <c r="E2" s="136"/>
      <c r="F2" s="136"/>
      <c r="G2" s="136"/>
      <c r="H2" s="136"/>
    </row>
    <row r="3" spans="2:8" ht="15.5" collapsed="1">
      <c r="B3" s="130"/>
      <c r="C3" s="130"/>
      <c r="D3" s="137" t="s">
        <v>369</v>
      </c>
      <c r="E3" s="137" t="s">
        <v>363</v>
      </c>
      <c r="F3" s="137" t="s">
        <v>364</v>
      </c>
      <c r="G3" s="137" t="s">
        <v>365</v>
      </c>
      <c r="H3" s="137" t="s">
        <v>366</v>
      </c>
    </row>
    <row r="4" spans="2:8" ht="21" hidden="1" outlineLevel="1">
      <c r="B4" s="133"/>
      <c r="C4" s="133"/>
      <c r="D4" s="127"/>
      <c r="E4" s="140" t="s">
        <v>367</v>
      </c>
      <c r="F4" s="140" t="s">
        <v>367</v>
      </c>
      <c r="G4" s="140" t="s">
        <v>367</v>
      </c>
      <c r="H4" s="140" t="s">
        <v>367</v>
      </c>
    </row>
    <row r="5" spans="2:8">
      <c r="B5" s="134"/>
      <c r="C5" s="134"/>
      <c r="D5" s="132"/>
      <c r="E5" s="132"/>
      <c r="F5" s="132"/>
      <c r="G5" s="132"/>
      <c r="H5" s="132"/>
    </row>
    <row r="6" spans="2:8" outlineLevel="1">
      <c r="B6" s="133"/>
      <c r="C6" s="133" t="s">
        <v>374</v>
      </c>
      <c r="D6" s="128">
        <v>0.15</v>
      </c>
      <c r="E6" s="138">
        <v>0.15</v>
      </c>
      <c r="F6" s="138">
        <v>0.15</v>
      </c>
      <c r="G6" s="138">
        <v>0.18</v>
      </c>
      <c r="H6" s="138">
        <v>0.13</v>
      </c>
    </row>
    <row r="7" spans="2:8" outlineLevel="1">
      <c r="B7" s="133"/>
      <c r="C7" s="133" t="s">
        <v>341</v>
      </c>
      <c r="D7" s="127">
        <v>4</v>
      </c>
      <c r="E7" s="139">
        <v>4</v>
      </c>
      <c r="F7" s="139">
        <v>4</v>
      </c>
      <c r="G7" s="139">
        <v>5</v>
      </c>
      <c r="H7" s="139">
        <v>3</v>
      </c>
    </row>
    <row r="8" spans="2:8">
      <c r="B8" s="134" t="s">
        <v>370</v>
      </c>
      <c r="C8" s="134"/>
      <c r="D8" s="132"/>
      <c r="E8" s="132"/>
      <c r="F8" s="132"/>
      <c r="G8" s="132"/>
      <c r="H8" s="132"/>
    </row>
    <row r="9" spans="2:8" ht="15" outlineLevel="1" thickBot="1">
      <c r="B9" s="135"/>
      <c r="C9" s="135" t="s">
        <v>375</v>
      </c>
      <c r="D9" s="129">
        <v>50381387.518629</v>
      </c>
      <c r="E9" s="129">
        <v>50381387.518629</v>
      </c>
      <c r="F9" s="129">
        <v>50381387.518629</v>
      </c>
      <c r="G9" s="129">
        <v>78540846.843981802</v>
      </c>
      <c r="H9" s="129">
        <v>31947340.8177756</v>
      </c>
    </row>
    <row r="10" spans="2:8">
      <c r="B10" t="s">
        <v>371</v>
      </c>
    </row>
    <row r="11" spans="2:8">
      <c r="B11" t="s">
        <v>372</v>
      </c>
    </row>
    <row r="12" spans="2:8">
      <c r="B12" t="s">
        <v>373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2BD88-FFE9-45D5-9E09-CC6313277638}">
  <dimension ref="A1:G25"/>
  <sheetViews>
    <sheetView topLeftCell="A10" workbookViewId="0">
      <selection activeCell="F28" sqref="A1:F28"/>
    </sheetView>
  </sheetViews>
  <sheetFormatPr defaultRowHeight="14.5"/>
  <cols>
    <col min="1" max="1" width="29" customWidth="1"/>
    <col min="2" max="2" width="27.7265625" bestFit="1" customWidth="1"/>
    <col min="3" max="3" width="16.453125" customWidth="1"/>
    <col min="4" max="4" width="12" customWidth="1"/>
    <col min="5" max="5" width="13.54296875" bestFit="1" customWidth="1"/>
    <col min="6" max="6" width="9.453125" bestFit="1" customWidth="1"/>
  </cols>
  <sheetData>
    <row r="1" spans="1:7" s="2" customFormat="1" ht="15.5">
      <c r="A1" s="1"/>
      <c r="B1" s="1"/>
      <c r="C1" s="1"/>
      <c r="D1" s="1"/>
      <c r="E1" s="1" t="s">
        <v>0</v>
      </c>
      <c r="G1" s="1"/>
    </row>
    <row r="2" spans="1:7" s="2" customFormat="1" ht="15.5">
      <c r="A2" s="1" t="s">
        <v>1</v>
      </c>
      <c r="B2" s="1"/>
      <c r="C2" s="1"/>
      <c r="D2" s="1"/>
      <c r="E2" s="1"/>
      <c r="F2" s="1"/>
      <c r="G2" s="1"/>
    </row>
    <row r="3" spans="1:7" s="2" customFormat="1" ht="15.5">
      <c r="A3" s="1" t="s">
        <v>2</v>
      </c>
      <c r="B3" s="1"/>
      <c r="C3" s="1"/>
      <c r="D3" s="1"/>
      <c r="E3" s="1"/>
      <c r="F3" s="1"/>
      <c r="G3" s="1"/>
    </row>
    <row r="4" spans="1:7" s="2" customFormat="1" ht="16" thickBot="1">
      <c r="A4" s="1"/>
      <c r="B4" s="1"/>
      <c r="C4" s="1"/>
      <c r="D4" s="1"/>
      <c r="E4" s="1"/>
      <c r="F4" s="1"/>
      <c r="G4" s="1"/>
    </row>
    <row r="5" spans="1:7" s="2" customFormat="1" ht="16" thickBot="1">
      <c r="A5" s="1"/>
      <c r="B5" s="3" t="s">
        <v>3</v>
      </c>
      <c r="C5" s="4">
        <v>200000000</v>
      </c>
      <c r="D5" s="1"/>
      <c r="E5" s="1"/>
      <c r="F5" s="1"/>
      <c r="G5" s="1"/>
    </row>
    <row r="6" spans="1:7" s="2" customFormat="1" ht="16" thickBot="1">
      <c r="A6" s="1"/>
      <c r="B6" s="5" t="s">
        <v>4</v>
      </c>
      <c r="C6" s="6" t="s">
        <v>5</v>
      </c>
      <c r="D6" s="1"/>
      <c r="E6" s="1"/>
      <c r="F6" s="1"/>
      <c r="G6" s="1"/>
    </row>
    <row r="7" spans="1:7" s="2" customFormat="1" ht="16" thickBot="1">
      <c r="A7" s="1"/>
      <c r="B7" s="5" t="s">
        <v>6</v>
      </c>
      <c r="C7" s="7">
        <v>48</v>
      </c>
      <c r="D7" s="1"/>
      <c r="E7" s="1"/>
      <c r="F7" s="1"/>
      <c r="G7" s="1"/>
    </row>
    <row r="8" spans="1:7" s="2" customFormat="1" ht="16" thickBot="1">
      <c r="A8" s="1"/>
      <c r="B8" s="5" t="s">
        <v>7</v>
      </c>
      <c r="C8" s="7" t="s">
        <v>8</v>
      </c>
      <c r="D8" s="1"/>
      <c r="E8" s="1"/>
      <c r="F8" s="1"/>
      <c r="G8" s="1"/>
    </row>
    <row r="9" spans="1:7" s="2" customFormat="1" ht="15.5">
      <c r="A9" s="1"/>
      <c r="B9" s="1"/>
      <c r="C9" s="1"/>
      <c r="D9" s="1"/>
      <c r="E9" s="1"/>
      <c r="F9" s="1"/>
      <c r="G9" s="1"/>
    </row>
    <row r="10" spans="1:7" s="2" customFormat="1" ht="15.5">
      <c r="A10" s="8" t="s">
        <v>9</v>
      </c>
      <c r="B10" s="1"/>
      <c r="C10" s="1"/>
      <c r="D10" s="1"/>
      <c r="E10" s="1"/>
      <c r="F10" s="1"/>
      <c r="G10" s="1"/>
    </row>
    <row r="11" spans="1:7" s="2" customFormat="1" ht="15.5">
      <c r="A11" s="1" t="s">
        <v>10</v>
      </c>
      <c r="B11" s="1"/>
      <c r="C11" s="1"/>
      <c r="D11" s="1"/>
      <c r="E11" s="1" t="s">
        <v>0</v>
      </c>
      <c r="F11" s="1"/>
      <c r="G11" s="1"/>
    </row>
    <row r="12" spans="1:7" s="2" customFormat="1" ht="15.5">
      <c r="A12" s="8"/>
      <c r="B12" s="1"/>
      <c r="C12" s="1"/>
      <c r="D12" s="1"/>
      <c r="E12" s="1"/>
      <c r="F12" s="1"/>
      <c r="G12" s="1"/>
    </row>
    <row r="13" spans="1:7" s="2" customFormat="1" ht="15.5">
      <c r="A13" s="1" t="s">
        <v>11</v>
      </c>
      <c r="B13" s="1"/>
      <c r="C13" s="1"/>
      <c r="D13" s="1"/>
      <c r="E13" s="1" t="s">
        <v>12</v>
      </c>
      <c r="F13" s="1"/>
      <c r="G13" s="1"/>
    </row>
    <row r="14" spans="1:7" s="2" customFormat="1" ht="15.5">
      <c r="A14" s="8"/>
      <c r="B14" s="1"/>
      <c r="C14" s="1"/>
      <c r="D14" s="1"/>
      <c r="F14" s="1"/>
      <c r="G14" s="1"/>
    </row>
    <row r="15" spans="1:7" s="2" customFormat="1" ht="15.5">
      <c r="A15" s="1" t="s">
        <v>13</v>
      </c>
      <c r="B15" s="1"/>
      <c r="C15" s="1"/>
      <c r="D15" s="1"/>
      <c r="E15" s="1"/>
      <c r="F15" s="1"/>
      <c r="G15" s="1"/>
    </row>
    <row r="16" spans="1:7" s="2" customFormat="1" ht="16" thickBot="1">
      <c r="A16" s="8"/>
      <c r="B16" s="1"/>
      <c r="C16" s="1"/>
      <c r="D16" s="1"/>
      <c r="E16" s="1"/>
      <c r="F16" s="1"/>
      <c r="G16" s="1"/>
    </row>
    <row r="17" spans="1:7" s="2" customFormat="1" ht="50.15" customHeight="1" thickBot="1">
      <c r="A17" s="8"/>
      <c r="B17" s="9" t="s">
        <v>14</v>
      </c>
      <c r="C17" s="10" t="s">
        <v>15</v>
      </c>
      <c r="D17" s="10" t="s">
        <v>16</v>
      </c>
      <c r="E17" s="1"/>
      <c r="F17" s="1"/>
      <c r="G17" s="1"/>
    </row>
    <row r="18" spans="1:7" s="2" customFormat="1" ht="16" thickBot="1">
      <c r="A18" s="8"/>
      <c r="B18" s="11" t="s">
        <v>17</v>
      </c>
      <c r="C18" s="12">
        <v>15</v>
      </c>
      <c r="D18" s="12" t="s">
        <v>18</v>
      </c>
      <c r="E18" s="1"/>
      <c r="F18" s="1"/>
      <c r="G18" s="1"/>
    </row>
    <row r="19" spans="1:7" s="2" customFormat="1" ht="16" thickBot="1">
      <c r="A19" s="8"/>
      <c r="B19" s="11" t="s">
        <v>19</v>
      </c>
      <c r="C19" s="12">
        <v>18</v>
      </c>
      <c r="D19" s="12" t="s">
        <v>20</v>
      </c>
      <c r="E19" s="1"/>
      <c r="F19" s="1"/>
      <c r="G19" s="1"/>
    </row>
    <row r="20" spans="1:7" s="2" customFormat="1" ht="16" thickBot="1">
      <c r="A20" s="8"/>
      <c r="B20" s="11" t="s">
        <v>21</v>
      </c>
      <c r="C20" s="12">
        <v>13</v>
      </c>
      <c r="D20" s="12" t="s">
        <v>22</v>
      </c>
      <c r="E20" s="1"/>
      <c r="F20" s="1"/>
      <c r="G20" s="1"/>
    </row>
    <row r="21" spans="1:7" s="2" customFormat="1" ht="15.5">
      <c r="A21" s="8"/>
      <c r="B21" s="1"/>
      <c r="C21" s="1"/>
      <c r="D21" s="1"/>
      <c r="E21" s="1"/>
      <c r="F21" s="1"/>
      <c r="G21" s="1"/>
    </row>
    <row r="22" spans="1:7" s="2" customFormat="1" ht="15.5">
      <c r="A22" s="8" t="s">
        <v>23</v>
      </c>
      <c r="B22" s="1"/>
      <c r="C22" s="1"/>
      <c r="D22" s="1"/>
      <c r="E22" s="1"/>
      <c r="F22" s="1"/>
      <c r="G22" s="1"/>
    </row>
    <row r="23" spans="1:7" s="2" customFormat="1" ht="15.5">
      <c r="A23" s="1" t="s">
        <v>24</v>
      </c>
      <c r="B23" s="1"/>
      <c r="C23" s="1"/>
      <c r="D23" s="1"/>
      <c r="F23" s="1"/>
      <c r="G23" s="1"/>
    </row>
    <row r="24" spans="1:7" s="2" customFormat="1" ht="15.5">
      <c r="A24" s="1" t="s">
        <v>25</v>
      </c>
      <c r="B24" s="1"/>
      <c r="C24" s="1"/>
      <c r="D24" s="1"/>
      <c r="F24" s="1"/>
      <c r="G24" s="1"/>
    </row>
    <row r="25" spans="1:7" s="2" customFormat="1" ht="15.5">
      <c r="A25" s="8"/>
      <c r="B25" s="1"/>
      <c r="C25" s="1"/>
      <c r="D25" s="1"/>
      <c r="F25" s="13" t="s">
        <v>26</v>
      </c>
      <c r="G25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1F47A-4057-4F58-9345-66EE5F274075}">
  <dimension ref="A1:K97"/>
  <sheetViews>
    <sheetView workbookViewId="0">
      <selection activeCell="F71" sqref="F71"/>
    </sheetView>
  </sheetViews>
  <sheetFormatPr defaultRowHeight="14.5"/>
  <cols>
    <col min="1" max="1" width="4.54296875" customWidth="1"/>
    <col min="2" max="2" width="18.6328125" customWidth="1"/>
    <col min="3" max="3" width="15.81640625" customWidth="1"/>
    <col min="4" max="4" width="17" customWidth="1"/>
    <col min="5" max="5" width="14.453125" customWidth="1"/>
    <col min="6" max="6" width="15.7265625" customWidth="1"/>
    <col min="9" max="9" width="13.26953125" customWidth="1"/>
    <col min="11" max="11" width="13.7265625" customWidth="1"/>
  </cols>
  <sheetData>
    <row r="1" spans="1:11" ht="15.5">
      <c r="A1" s="72" t="s">
        <v>27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5">
      <c r="A2" s="1" t="s">
        <v>231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5">
      <c r="A3" s="1" t="s">
        <v>232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5">
      <c r="A4" s="1" t="s">
        <v>233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5">
      <c r="A5" s="1" t="s">
        <v>234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5">
      <c r="A7" s="1"/>
      <c r="B7" s="73" t="s">
        <v>235</v>
      </c>
      <c r="C7" s="74">
        <v>2000000</v>
      </c>
      <c r="D7" s="1"/>
      <c r="E7" s="1"/>
      <c r="F7" s="1"/>
      <c r="G7" s="1"/>
      <c r="H7" s="1"/>
      <c r="I7" s="1"/>
      <c r="J7" s="1"/>
      <c r="K7" s="1"/>
    </row>
    <row r="8" spans="1:11" ht="15.5">
      <c r="A8" s="1"/>
      <c r="B8" s="73" t="s">
        <v>236</v>
      </c>
      <c r="C8" s="75">
        <v>5</v>
      </c>
      <c r="D8" s="1"/>
      <c r="E8" s="1"/>
      <c r="F8" s="1"/>
      <c r="G8" s="1"/>
      <c r="H8" s="1"/>
      <c r="I8" s="1"/>
      <c r="J8" s="1"/>
      <c r="K8" s="1"/>
    </row>
    <row r="9" spans="1:11" ht="15.5">
      <c r="A9" s="1"/>
      <c r="B9" s="73" t="s">
        <v>237</v>
      </c>
      <c r="C9" s="75" t="s">
        <v>104</v>
      </c>
      <c r="D9" s="1"/>
      <c r="E9" s="1"/>
      <c r="F9" s="1"/>
      <c r="G9" s="1"/>
      <c r="H9" s="1"/>
      <c r="I9" s="1"/>
      <c r="J9" s="1"/>
      <c r="K9" s="1"/>
    </row>
    <row r="10" spans="1:11" ht="15.5">
      <c r="A10" s="1"/>
      <c r="B10" s="73" t="s">
        <v>4</v>
      </c>
      <c r="C10" s="76">
        <v>0.11</v>
      </c>
      <c r="D10" s="1"/>
      <c r="E10" s="1"/>
      <c r="F10" s="1"/>
      <c r="G10" s="1"/>
      <c r="H10" s="1"/>
      <c r="I10" s="1"/>
      <c r="J10" s="1"/>
      <c r="K10" s="1"/>
    </row>
    <row r="11" spans="1:11" ht="15.5">
      <c r="A11" s="1"/>
      <c r="B11" s="73" t="s">
        <v>238</v>
      </c>
      <c r="C11" s="74">
        <v>43485</v>
      </c>
      <c r="D11" s="1"/>
      <c r="F11" s="1"/>
      <c r="G11" s="1"/>
      <c r="H11" s="1"/>
      <c r="I11" s="1"/>
      <c r="J11" s="1"/>
      <c r="K11" s="1"/>
    </row>
    <row r="12" spans="1:11" ht="15.5">
      <c r="A12" s="1"/>
      <c r="B12" s="77"/>
      <c r="C12" s="1"/>
      <c r="D12" s="1"/>
      <c r="E12" s="1"/>
      <c r="F12" s="1"/>
      <c r="G12" s="1"/>
      <c r="H12" s="1"/>
      <c r="I12" s="1"/>
      <c r="J12" s="1"/>
      <c r="K12" s="1"/>
    </row>
    <row r="13" spans="1:11" ht="15.5">
      <c r="A13" s="8" t="s">
        <v>67</v>
      </c>
      <c r="B13" s="77"/>
      <c r="C13" s="1"/>
      <c r="D13" s="1"/>
      <c r="E13" s="1"/>
      <c r="F13" s="1"/>
      <c r="G13" s="1"/>
      <c r="H13" s="1"/>
      <c r="I13" s="1"/>
      <c r="J13" s="1"/>
      <c r="K13" s="1"/>
    </row>
    <row r="14" spans="1:11" ht="15.5">
      <c r="A14" s="1" t="s">
        <v>239</v>
      </c>
      <c r="B14" s="77"/>
      <c r="C14" s="1"/>
      <c r="D14" s="1"/>
      <c r="E14" s="1"/>
      <c r="F14" s="1"/>
      <c r="G14" s="1"/>
      <c r="H14" s="1"/>
      <c r="I14" s="1"/>
      <c r="J14" s="1"/>
      <c r="K14" s="1"/>
    </row>
    <row r="15" spans="1:11" ht="15.5">
      <c r="A15" s="1" t="s">
        <v>240</v>
      </c>
      <c r="B15" s="77"/>
      <c r="C15" s="1"/>
      <c r="D15" s="1"/>
      <c r="E15" s="1"/>
      <c r="F15" s="1"/>
      <c r="G15" s="1"/>
      <c r="H15" s="1"/>
      <c r="I15" s="1"/>
      <c r="J15" s="1"/>
      <c r="K15" s="1"/>
    </row>
    <row r="16" spans="1:11" ht="15.5">
      <c r="A16" s="1"/>
      <c r="B16" s="77"/>
      <c r="C16" s="1"/>
      <c r="D16" s="1"/>
      <c r="E16" s="1"/>
      <c r="F16" s="1"/>
      <c r="G16" s="1"/>
      <c r="H16" s="1"/>
      <c r="I16" s="1"/>
      <c r="J16" s="1"/>
      <c r="K16" s="1"/>
    </row>
    <row r="17" spans="1:11" ht="15.5">
      <c r="A17" s="73" t="s">
        <v>241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15.5">
      <c r="A18" s="73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5.5">
      <c r="A19" s="32" t="s">
        <v>56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5.5">
      <c r="A20" s="1" t="s">
        <v>242</v>
      </c>
      <c r="B20" s="1"/>
      <c r="C20" s="1"/>
      <c r="D20" s="1"/>
      <c r="E20" s="1"/>
      <c r="F20" s="1"/>
      <c r="G20" s="1"/>
      <c r="H20" s="1"/>
      <c r="I20" s="1"/>
      <c r="J20" s="239" t="s">
        <v>141</v>
      </c>
      <c r="K20" s="239"/>
    </row>
    <row r="21" spans="1:11" ht="15.5">
      <c r="A21" s="1"/>
      <c r="B21" s="1"/>
      <c r="C21" s="1"/>
      <c r="D21" s="1"/>
      <c r="E21" s="1"/>
      <c r="F21" s="1"/>
      <c r="G21" s="1"/>
      <c r="H21" s="1"/>
      <c r="I21" s="1"/>
      <c r="J21" s="74">
        <f>-PMT(C10/12,C8*12,C7,0,0)</f>
        <v>43484.84614528661</v>
      </c>
      <c r="K21" s="1"/>
    </row>
    <row r="22" spans="1:11" ht="15.5">
      <c r="A22" s="1" t="s">
        <v>243</v>
      </c>
      <c r="B22" s="1"/>
      <c r="C22" s="1"/>
      <c r="D22" s="1"/>
      <c r="E22" s="1"/>
      <c r="F22" s="1"/>
      <c r="G22" s="1"/>
      <c r="H22" s="1"/>
      <c r="I22" s="1"/>
      <c r="J22" s="239" t="s">
        <v>244</v>
      </c>
      <c r="K22" s="239"/>
    </row>
    <row r="23" spans="1:11" ht="15.5">
      <c r="A23" s="1" t="s">
        <v>245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5.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5.5">
      <c r="A25" s="1" t="s">
        <v>246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5.5">
      <c r="A26" s="1" t="s">
        <v>247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5.5">
      <c r="A27" s="1" t="s">
        <v>248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5.5">
      <c r="A28" s="1"/>
      <c r="B28" s="1"/>
      <c r="C28" s="1"/>
      <c r="D28" s="1" t="s">
        <v>413</v>
      </c>
      <c r="E28" s="1" t="s">
        <v>411</v>
      </c>
      <c r="F28" s="1" t="s">
        <v>412</v>
      </c>
      <c r="G28" s="1"/>
      <c r="H28" s="1"/>
      <c r="I28" s="1"/>
      <c r="J28" s="1"/>
      <c r="K28" s="1"/>
    </row>
    <row r="29" spans="1:11" ht="15.5">
      <c r="A29" s="1"/>
      <c r="B29" s="78" t="s">
        <v>249</v>
      </c>
      <c r="C29" s="79" t="s">
        <v>250</v>
      </c>
      <c r="D29" s="79" t="s">
        <v>251</v>
      </c>
      <c r="E29" s="80" t="s">
        <v>252</v>
      </c>
      <c r="F29" s="80" t="s">
        <v>253</v>
      </c>
      <c r="G29" s="1"/>
      <c r="H29" s="1"/>
      <c r="I29" s="1"/>
      <c r="J29" s="1"/>
      <c r="K29" s="1"/>
    </row>
    <row r="30" spans="1:11" ht="15.5">
      <c r="A30" s="1"/>
      <c r="B30" s="78" t="s">
        <v>235</v>
      </c>
      <c r="C30" s="81">
        <v>2000000</v>
      </c>
      <c r="D30" s="81">
        <v>2000000</v>
      </c>
      <c r="E30" s="81">
        <v>2000000</v>
      </c>
      <c r="F30" s="81">
        <v>1609756.1841687094</v>
      </c>
      <c r="G30" s="1"/>
      <c r="H30" s="1"/>
      <c r="I30" s="1"/>
      <c r="J30" s="1"/>
      <c r="K30" s="1"/>
    </row>
    <row r="31" spans="1:11" ht="15.5">
      <c r="A31" s="1"/>
      <c r="B31" s="78" t="s">
        <v>254</v>
      </c>
      <c r="C31" s="78">
        <v>60</v>
      </c>
      <c r="D31" s="78">
        <v>60</v>
      </c>
      <c r="E31" s="164">
        <v>81.309023771242153</v>
      </c>
      <c r="F31" s="78">
        <v>60</v>
      </c>
      <c r="G31" s="1"/>
      <c r="H31" s="1"/>
      <c r="I31" s="1"/>
      <c r="J31" s="1"/>
      <c r="K31" s="1"/>
    </row>
    <row r="32" spans="1:11" ht="15.5">
      <c r="A32" s="1"/>
      <c r="B32" s="78" t="s">
        <v>4</v>
      </c>
      <c r="C32" s="82">
        <v>0.11</v>
      </c>
      <c r="D32" s="82">
        <v>1.9365130522303549E-2</v>
      </c>
      <c r="E32" s="82">
        <v>0.11</v>
      </c>
      <c r="F32" s="82">
        <v>0.11</v>
      </c>
      <c r="G32" s="1"/>
      <c r="H32" s="1"/>
      <c r="I32" s="1"/>
      <c r="J32" s="1"/>
      <c r="K32" s="1"/>
    </row>
    <row r="33" spans="1:11" ht="15.5">
      <c r="A33" s="1"/>
      <c r="B33" s="78" t="s">
        <v>255</v>
      </c>
      <c r="C33" s="81">
        <f>-PMT(C32/12,C31,C30,0,0)</f>
        <v>43484.84614528661</v>
      </c>
      <c r="D33" s="81">
        <f t="shared" ref="D33:F33" si="0">-PMT(D32/12,D31,D30,0,0)</f>
        <v>35000.000189507802</v>
      </c>
      <c r="E33" s="81">
        <f t="shared" si="0"/>
        <v>35000.000043872358</v>
      </c>
      <c r="F33" s="81">
        <f t="shared" si="0"/>
        <v>35000</v>
      </c>
      <c r="G33" s="1"/>
      <c r="H33" s="1"/>
      <c r="I33" s="1"/>
      <c r="J33" s="1"/>
      <c r="K33" s="1"/>
    </row>
    <row r="34" spans="1:11" ht="15.5">
      <c r="A34" s="1"/>
      <c r="B34" s="1"/>
      <c r="C34" s="1"/>
      <c r="D34" s="1"/>
      <c r="E34" s="81">
        <v>35000</v>
      </c>
      <c r="F34" s="1"/>
      <c r="G34" s="1"/>
      <c r="H34" s="1"/>
      <c r="I34" s="1"/>
      <c r="J34" s="1"/>
      <c r="K34" s="1"/>
    </row>
    <row r="35" spans="1:11" ht="15.5">
      <c r="A35" s="1"/>
      <c r="B35" s="1"/>
      <c r="C35" s="83"/>
      <c r="D35" s="83"/>
      <c r="E35" s="58"/>
      <c r="F35" s="58"/>
      <c r="G35" s="1"/>
      <c r="H35" s="1"/>
      <c r="I35" s="1"/>
      <c r="J35" s="1"/>
      <c r="K35" s="1"/>
    </row>
    <row r="36" spans="1:11" ht="15.5">
      <c r="A36" s="1"/>
      <c r="B36" s="1"/>
      <c r="C36" s="84"/>
      <c r="D36" s="84"/>
      <c r="E36" s="1"/>
      <c r="F36" s="1"/>
      <c r="G36" s="1"/>
      <c r="H36" s="1"/>
      <c r="I36" s="1"/>
      <c r="J36" s="1"/>
      <c r="K36" s="1"/>
    </row>
    <row r="37" spans="1:11" ht="15.5">
      <c r="A37" s="1"/>
      <c r="B37" s="78" t="s">
        <v>410</v>
      </c>
      <c r="C37" s="78" t="s">
        <v>391</v>
      </c>
      <c r="D37" s="78" t="s">
        <v>394</v>
      </c>
      <c r="E37" s="78" t="s">
        <v>395</v>
      </c>
      <c r="F37" s="78" t="s">
        <v>409</v>
      </c>
      <c r="G37" s="1"/>
      <c r="H37" s="1"/>
      <c r="I37" s="1"/>
      <c r="J37" s="1"/>
      <c r="K37" s="1"/>
    </row>
    <row r="38" spans="1:11" ht="15.5">
      <c r="A38" s="1"/>
      <c r="B38" s="78">
        <v>1</v>
      </c>
      <c r="C38" s="81">
        <f>$J$21</f>
        <v>43484.84614528661</v>
      </c>
      <c r="D38" s="81">
        <f>C38-E38</f>
        <v>25151.512811953278</v>
      </c>
      <c r="E38" s="81">
        <f>(11%/12)*2000000</f>
        <v>18333.333333333332</v>
      </c>
      <c r="F38" s="81">
        <f>2000000-D38</f>
        <v>1974848.4871880468</v>
      </c>
      <c r="G38" s="1"/>
      <c r="H38" s="1"/>
      <c r="I38" s="1"/>
      <c r="J38" s="239" t="s">
        <v>151</v>
      </c>
      <c r="K38" s="239"/>
    </row>
    <row r="39" spans="1:11" ht="15.5">
      <c r="A39" s="1"/>
      <c r="B39" s="78">
        <v>2</v>
      </c>
      <c r="C39" s="81">
        <f t="shared" ref="C39:C97" si="1">$J$21</f>
        <v>43484.84614528661</v>
      </c>
      <c r="D39" s="81">
        <f t="shared" ref="D39:D97" si="2">C39-E39</f>
        <v>25382.06834606285</v>
      </c>
      <c r="E39" s="81">
        <f>(11%/12)*F38</f>
        <v>18102.777799223761</v>
      </c>
      <c r="F39" s="81">
        <f>F38-D39</f>
        <v>1949466.4188419839</v>
      </c>
      <c r="G39" s="1"/>
      <c r="H39" s="1"/>
      <c r="I39" s="1"/>
      <c r="J39" s="240" t="s">
        <v>157</v>
      </c>
      <c r="K39" s="239"/>
    </row>
    <row r="40" spans="1:11" ht="15.5">
      <c r="A40" s="1"/>
      <c r="B40" s="78">
        <v>3</v>
      </c>
      <c r="C40" s="81">
        <f t="shared" si="1"/>
        <v>43484.84614528661</v>
      </c>
      <c r="D40" s="81">
        <f t="shared" si="2"/>
        <v>25614.737305901759</v>
      </c>
      <c r="E40" s="81">
        <f t="shared" ref="E40:E97" si="3">(11%/12)*F39</f>
        <v>17870.108839384851</v>
      </c>
      <c r="F40" s="81">
        <f t="shared" ref="F40:F97" si="4">F39-D40</f>
        <v>1923851.6815360822</v>
      </c>
      <c r="G40" s="1"/>
      <c r="H40" s="1"/>
      <c r="I40" s="8"/>
      <c r="J40" s="1"/>
      <c r="K40" s="1"/>
    </row>
    <row r="41" spans="1:11" ht="15.5">
      <c r="B41" s="78">
        <v>4</v>
      </c>
      <c r="C41" s="81">
        <f t="shared" si="1"/>
        <v>43484.84614528661</v>
      </c>
      <c r="D41" s="81">
        <f t="shared" si="2"/>
        <v>25849.539064539189</v>
      </c>
      <c r="E41" s="81">
        <f t="shared" si="3"/>
        <v>17635.307080747421</v>
      </c>
      <c r="F41" s="81">
        <f t="shared" si="4"/>
        <v>1898002.142471543</v>
      </c>
    </row>
    <row r="42" spans="1:11" ht="15.5">
      <c r="B42" s="78">
        <v>5</v>
      </c>
      <c r="C42" s="81">
        <f t="shared" si="1"/>
        <v>43484.84614528661</v>
      </c>
      <c r="D42" s="81">
        <f t="shared" si="2"/>
        <v>26086.493172630799</v>
      </c>
      <c r="E42" s="81">
        <f t="shared" si="3"/>
        <v>17398.352972655812</v>
      </c>
      <c r="F42" s="81">
        <f t="shared" si="4"/>
        <v>1871915.6492989121</v>
      </c>
    </row>
    <row r="43" spans="1:11" ht="15.5">
      <c r="B43" s="78">
        <v>6</v>
      </c>
      <c r="C43" s="81">
        <f t="shared" si="1"/>
        <v>43484.84614528661</v>
      </c>
      <c r="D43" s="81">
        <f t="shared" si="2"/>
        <v>26325.619360046581</v>
      </c>
      <c r="E43" s="81">
        <f t="shared" si="3"/>
        <v>17159.226785240029</v>
      </c>
      <c r="F43" s="81">
        <f t="shared" si="4"/>
        <v>1845590.0299388655</v>
      </c>
    </row>
    <row r="44" spans="1:11" ht="15.5">
      <c r="B44" s="78">
        <v>7</v>
      </c>
      <c r="C44" s="81">
        <f t="shared" si="1"/>
        <v>43484.84614528661</v>
      </c>
      <c r="D44" s="81">
        <f t="shared" si="2"/>
        <v>26566.937537513677</v>
      </c>
      <c r="E44" s="81">
        <f t="shared" si="3"/>
        <v>16917.908607772933</v>
      </c>
      <c r="F44" s="81">
        <f t="shared" si="4"/>
        <v>1819023.0924013518</v>
      </c>
    </row>
    <row r="45" spans="1:11" ht="15.5">
      <c r="B45" s="78">
        <v>8</v>
      </c>
      <c r="C45" s="81">
        <f t="shared" si="1"/>
        <v>43484.84614528661</v>
      </c>
      <c r="D45" s="81">
        <f t="shared" si="2"/>
        <v>26810.467798274218</v>
      </c>
      <c r="E45" s="81">
        <f t="shared" si="3"/>
        <v>16674.378347012393</v>
      </c>
      <c r="F45" s="81">
        <f t="shared" si="4"/>
        <v>1792212.6246030775</v>
      </c>
    </row>
    <row r="46" spans="1:11" ht="15.5">
      <c r="B46" s="78">
        <v>9</v>
      </c>
      <c r="C46" s="81">
        <f t="shared" si="1"/>
        <v>43484.84614528661</v>
      </c>
      <c r="D46" s="81">
        <f t="shared" si="2"/>
        <v>27056.230419758398</v>
      </c>
      <c r="E46" s="81">
        <f t="shared" si="3"/>
        <v>16428.615725528212</v>
      </c>
      <c r="F46" s="81">
        <f t="shared" si="4"/>
        <v>1765156.3941833191</v>
      </c>
    </row>
    <row r="47" spans="1:11" ht="15.5">
      <c r="B47" s="78">
        <v>10</v>
      </c>
      <c r="C47" s="81">
        <f t="shared" si="1"/>
        <v>43484.84614528661</v>
      </c>
      <c r="D47" s="81">
        <f t="shared" si="2"/>
        <v>27304.245865272853</v>
      </c>
      <c r="E47" s="81">
        <f t="shared" si="3"/>
        <v>16180.600280013758</v>
      </c>
      <c r="F47" s="81">
        <f t="shared" si="4"/>
        <v>1737852.1483180462</v>
      </c>
    </row>
    <row r="48" spans="1:11" ht="15.5">
      <c r="B48" s="78">
        <v>11</v>
      </c>
      <c r="C48" s="81">
        <f t="shared" si="1"/>
        <v>43484.84614528661</v>
      </c>
      <c r="D48" s="81">
        <f t="shared" si="2"/>
        <v>27554.53478570452</v>
      </c>
      <c r="E48" s="81">
        <f t="shared" si="3"/>
        <v>15930.311359582091</v>
      </c>
      <c r="F48" s="81">
        <f t="shared" si="4"/>
        <v>1710297.6135323418</v>
      </c>
    </row>
    <row r="49" spans="2:6" ht="15.5">
      <c r="B49" s="78">
        <v>12</v>
      </c>
      <c r="C49" s="81">
        <f t="shared" si="1"/>
        <v>43484.84614528661</v>
      </c>
      <c r="D49" s="81">
        <f t="shared" si="2"/>
        <v>27807.118021240145</v>
      </c>
      <c r="E49" s="81">
        <f t="shared" si="3"/>
        <v>15677.728124046467</v>
      </c>
      <c r="F49" s="81">
        <f t="shared" si="4"/>
        <v>1682490.4955111016</v>
      </c>
    </row>
    <row r="50" spans="2:6" ht="15.5">
      <c r="B50" s="78">
        <v>13</v>
      </c>
      <c r="C50" s="81">
        <f t="shared" si="1"/>
        <v>43484.84614528661</v>
      </c>
      <c r="D50" s="81">
        <f t="shared" si="2"/>
        <v>28062.016603101511</v>
      </c>
      <c r="E50" s="81">
        <f t="shared" si="3"/>
        <v>15422.829542185098</v>
      </c>
      <c r="F50" s="81">
        <f t="shared" si="4"/>
        <v>1654428.478908</v>
      </c>
    </row>
    <row r="51" spans="2:6" ht="15.5">
      <c r="B51" s="78">
        <v>14</v>
      </c>
      <c r="C51" s="81">
        <f t="shared" si="1"/>
        <v>43484.84614528661</v>
      </c>
      <c r="D51" s="81">
        <f t="shared" si="2"/>
        <v>28319.251755296609</v>
      </c>
      <c r="E51" s="81">
        <f t="shared" si="3"/>
        <v>15165.594389990001</v>
      </c>
      <c r="F51" s="81">
        <f t="shared" si="4"/>
        <v>1626109.2271527033</v>
      </c>
    </row>
    <row r="52" spans="2:6" ht="15.5">
      <c r="B52" s="78">
        <v>15</v>
      </c>
      <c r="C52" s="81">
        <f t="shared" si="1"/>
        <v>43484.84614528661</v>
      </c>
      <c r="D52" s="81">
        <f t="shared" si="2"/>
        <v>28578.844896386829</v>
      </c>
      <c r="E52" s="81">
        <f t="shared" si="3"/>
        <v>14906.00124889978</v>
      </c>
      <c r="F52" s="81">
        <f t="shared" si="4"/>
        <v>1597530.3822563165</v>
      </c>
    </row>
    <row r="53" spans="2:6" ht="15.5">
      <c r="B53" s="78">
        <v>16</v>
      </c>
      <c r="C53" s="81">
        <f t="shared" si="1"/>
        <v>43484.84614528661</v>
      </c>
      <c r="D53" s="81">
        <f t="shared" si="2"/>
        <v>28840.817641270376</v>
      </c>
      <c r="E53" s="81">
        <f t="shared" si="3"/>
        <v>14644.028504016234</v>
      </c>
      <c r="F53" s="81">
        <f t="shared" si="4"/>
        <v>1568689.5646150461</v>
      </c>
    </row>
    <row r="54" spans="2:6" ht="15.5">
      <c r="B54" s="78">
        <v>17</v>
      </c>
      <c r="C54" s="81">
        <f t="shared" si="1"/>
        <v>43484.84614528661</v>
      </c>
      <c r="D54" s="81">
        <f t="shared" si="2"/>
        <v>29105.191802982023</v>
      </c>
      <c r="E54" s="81">
        <f t="shared" si="3"/>
        <v>14379.65434230459</v>
      </c>
      <c r="F54" s="81">
        <f t="shared" si="4"/>
        <v>1539584.3728120641</v>
      </c>
    </row>
    <row r="55" spans="2:6" ht="15.5">
      <c r="B55" s="78">
        <v>18</v>
      </c>
      <c r="C55" s="81">
        <f t="shared" si="1"/>
        <v>43484.84614528661</v>
      </c>
      <c r="D55" s="81">
        <f t="shared" si="2"/>
        <v>29371.989394509357</v>
      </c>
      <c r="E55" s="81">
        <f t="shared" si="3"/>
        <v>14112.856750777255</v>
      </c>
      <c r="F55" s="81">
        <f t="shared" si="4"/>
        <v>1510212.3834175547</v>
      </c>
    </row>
    <row r="56" spans="2:6" ht="15.5">
      <c r="B56" s="78">
        <v>19</v>
      </c>
      <c r="C56" s="81">
        <f t="shared" si="1"/>
        <v>43484.84614528661</v>
      </c>
      <c r="D56" s="81">
        <f t="shared" si="2"/>
        <v>29641.232630625695</v>
      </c>
      <c r="E56" s="81">
        <f t="shared" si="3"/>
        <v>13843.613514660918</v>
      </c>
      <c r="F56" s="81">
        <f t="shared" si="4"/>
        <v>1480571.1507869291</v>
      </c>
    </row>
    <row r="57" spans="2:6" ht="15.5">
      <c r="B57" s="78">
        <v>20</v>
      </c>
      <c r="C57" s="81">
        <f t="shared" si="1"/>
        <v>43484.84614528661</v>
      </c>
      <c r="D57" s="81">
        <f t="shared" si="2"/>
        <v>29912.943929739762</v>
      </c>
      <c r="E57" s="81">
        <f t="shared" si="3"/>
        <v>13571.90221554685</v>
      </c>
      <c r="F57" s="81">
        <f t="shared" si="4"/>
        <v>1450658.2068571893</v>
      </c>
    </row>
    <row r="58" spans="2:6" ht="15.5">
      <c r="B58" s="78">
        <v>21</v>
      </c>
      <c r="C58" s="81">
        <f t="shared" si="1"/>
        <v>43484.84614528661</v>
      </c>
      <c r="D58" s="81">
        <f t="shared" si="2"/>
        <v>30187.145915762376</v>
      </c>
      <c r="E58" s="81">
        <f t="shared" si="3"/>
        <v>13297.700229524235</v>
      </c>
      <c r="F58" s="81">
        <f t="shared" si="4"/>
        <v>1420471.060941427</v>
      </c>
    </row>
    <row r="59" spans="2:6" ht="15.5">
      <c r="B59" s="78">
        <v>22</v>
      </c>
      <c r="C59" s="81">
        <f t="shared" si="1"/>
        <v>43484.84614528661</v>
      </c>
      <c r="D59" s="81">
        <f t="shared" si="2"/>
        <v>30463.861419990197</v>
      </c>
      <c r="E59" s="81">
        <f t="shared" si="3"/>
        <v>13020.984725296414</v>
      </c>
      <c r="F59" s="81">
        <f t="shared" si="4"/>
        <v>1390007.1995214368</v>
      </c>
    </row>
    <row r="60" spans="2:6" ht="15.5">
      <c r="B60" s="78">
        <v>23</v>
      </c>
      <c r="C60" s="81">
        <f t="shared" si="1"/>
        <v>43484.84614528661</v>
      </c>
      <c r="D60" s="81">
        <f t="shared" si="2"/>
        <v>30743.113483006775</v>
      </c>
      <c r="E60" s="81">
        <f t="shared" si="3"/>
        <v>12741.732662279837</v>
      </c>
      <c r="F60" s="81">
        <f t="shared" si="4"/>
        <v>1359264.08603843</v>
      </c>
    </row>
    <row r="61" spans="2:6" ht="15.5">
      <c r="B61" s="78">
        <v>24</v>
      </c>
      <c r="C61" s="81">
        <f t="shared" si="1"/>
        <v>43484.84614528661</v>
      </c>
      <c r="D61" s="81">
        <f t="shared" si="2"/>
        <v>31024.925356601001</v>
      </c>
      <c r="E61" s="81">
        <f t="shared" si="3"/>
        <v>12459.920788685607</v>
      </c>
      <c r="F61" s="81">
        <f t="shared" si="4"/>
        <v>1328239.1606818291</v>
      </c>
    </row>
    <row r="62" spans="2:6" ht="15.5">
      <c r="B62" s="78">
        <v>25</v>
      </c>
      <c r="C62" s="81">
        <f t="shared" si="1"/>
        <v>43484.84614528661</v>
      </c>
      <c r="D62" s="81">
        <f t="shared" si="2"/>
        <v>31309.320505703177</v>
      </c>
      <c r="E62" s="81">
        <f t="shared" si="3"/>
        <v>12175.525639583433</v>
      </c>
      <c r="F62" s="81">
        <f t="shared" si="4"/>
        <v>1296929.840176126</v>
      </c>
    </row>
    <row r="63" spans="2:6" ht="15.5">
      <c r="B63" s="78">
        <v>26</v>
      </c>
      <c r="C63" s="81">
        <f t="shared" si="1"/>
        <v>43484.84614528661</v>
      </c>
      <c r="D63" s="81">
        <f t="shared" si="2"/>
        <v>31596.32261033879</v>
      </c>
      <c r="E63" s="81">
        <f t="shared" si="3"/>
        <v>11888.523534947821</v>
      </c>
      <c r="F63" s="81">
        <f t="shared" si="4"/>
        <v>1265333.5175657873</v>
      </c>
    </row>
    <row r="64" spans="2:6" ht="15.5">
      <c r="B64" s="78">
        <v>27</v>
      </c>
      <c r="C64" s="81">
        <f t="shared" si="1"/>
        <v>43484.84614528661</v>
      </c>
      <c r="D64" s="81">
        <f t="shared" si="2"/>
        <v>31885.955567600227</v>
      </c>
      <c r="E64" s="81">
        <f t="shared" si="3"/>
        <v>11598.890577686383</v>
      </c>
      <c r="F64" s="81">
        <f t="shared" si="4"/>
        <v>1233447.5619981871</v>
      </c>
    </row>
    <row r="65" spans="2:11" ht="15.5">
      <c r="B65" s="78">
        <v>28</v>
      </c>
      <c r="C65" s="81">
        <f t="shared" si="1"/>
        <v>43484.84614528661</v>
      </c>
      <c r="D65" s="81">
        <f t="shared" si="2"/>
        <v>32178.243493636561</v>
      </c>
      <c r="E65" s="81">
        <f t="shared" si="3"/>
        <v>11306.602651650048</v>
      </c>
      <c r="F65" s="81">
        <f t="shared" si="4"/>
        <v>1201269.3185045505</v>
      </c>
    </row>
    <row r="66" spans="2:11" ht="15.5">
      <c r="B66" s="78">
        <v>29</v>
      </c>
      <c r="C66" s="81">
        <f t="shared" si="1"/>
        <v>43484.84614528661</v>
      </c>
      <c r="D66" s="81">
        <f t="shared" si="2"/>
        <v>32473.210725661564</v>
      </c>
      <c r="E66" s="81">
        <f t="shared" si="3"/>
        <v>11011.635419625047</v>
      </c>
      <c r="F66" s="81">
        <f t="shared" si="4"/>
        <v>1168796.1077788889</v>
      </c>
    </row>
    <row r="67" spans="2:11" ht="15.5">
      <c r="B67" s="78">
        <v>30</v>
      </c>
      <c r="C67" s="81">
        <f t="shared" si="1"/>
        <v>43484.84614528661</v>
      </c>
      <c r="D67" s="81">
        <f t="shared" si="2"/>
        <v>32770.881823980133</v>
      </c>
      <c r="E67" s="81">
        <f t="shared" si="3"/>
        <v>10713.964321306481</v>
      </c>
      <c r="F67" s="81">
        <f t="shared" si="4"/>
        <v>1136025.2259549089</v>
      </c>
    </row>
    <row r="68" spans="2:11" ht="15.5">
      <c r="B68" s="78">
        <v>31</v>
      </c>
      <c r="C68" s="81">
        <f t="shared" si="1"/>
        <v>43484.84614528661</v>
      </c>
      <c r="D68" s="81">
        <f t="shared" si="2"/>
        <v>33071.281574033281</v>
      </c>
      <c r="E68" s="81">
        <f t="shared" si="3"/>
        <v>10413.564571253331</v>
      </c>
      <c r="F68" s="81">
        <f t="shared" si="4"/>
        <v>1102953.9443808757</v>
      </c>
    </row>
    <row r="69" spans="2:11" ht="15.5">
      <c r="B69" s="78">
        <v>32</v>
      </c>
      <c r="C69" s="81">
        <f t="shared" si="1"/>
        <v>43484.84614528661</v>
      </c>
      <c r="D69" s="81">
        <f t="shared" si="2"/>
        <v>33374.434988461915</v>
      </c>
      <c r="E69" s="81">
        <f t="shared" si="3"/>
        <v>10110.411156824694</v>
      </c>
      <c r="F69" s="81">
        <f t="shared" si="4"/>
        <v>1069579.5093924138</v>
      </c>
    </row>
    <row r="70" spans="2:11" ht="15.5">
      <c r="B70" s="78">
        <v>33</v>
      </c>
      <c r="C70" s="81">
        <f t="shared" si="1"/>
        <v>43484.84614528661</v>
      </c>
      <c r="D70" s="81">
        <f t="shared" si="2"/>
        <v>33680.367309189482</v>
      </c>
      <c r="E70" s="81">
        <f t="shared" si="3"/>
        <v>9804.478836097127</v>
      </c>
      <c r="F70" s="81">
        <f t="shared" si="4"/>
        <v>1035899.1420832243</v>
      </c>
    </row>
    <row r="71" spans="2:11" ht="15.5">
      <c r="B71" s="78">
        <v>34</v>
      </c>
      <c r="C71" s="81">
        <f t="shared" si="1"/>
        <v>43484.84614528661</v>
      </c>
      <c r="D71" s="81">
        <f t="shared" si="2"/>
        <v>33989.104009523726</v>
      </c>
      <c r="E71" s="81">
        <f t="shared" si="3"/>
        <v>9495.7421357628882</v>
      </c>
      <c r="F71" s="81">
        <f t="shared" si="4"/>
        <v>1001910.0380737005</v>
      </c>
    </row>
    <row r="72" spans="2:11" ht="15.5">
      <c r="B72" s="78">
        <v>35</v>
      </c>
      <c r="C72" s="81">
        <f t="shared" si="1"/>
        <v>43484.84614528661</v>
      </c>
      <c r="D72" s="81">
        <f t="shared" si="2"/>
        <v>34300.670796277685</v>
      </c>
      <c r="E72" s="81">
        <f t="shared" si="3"/>
        <v>9184.1753490089213</v>
      </c>
      <c r="F72" s="81">
        <f t="shared" si="4"/>
        <v>967609.3672774228</v>
      </c>
    </row>
    <row r="73" spans="2:11" ht="15.5">
      <c r="B73" s="78">
        <v>36</v>
      </c>
      <c r="C73" s="81">
        <f t="shared" si="1"/>
        <v>43484.84614528661</v>
      </c>
      <c r="D73" s="81">
        <f t="shared" si="2"/>
        <v>34615.093611910233</v>
      </c>
      <c r="E73" s="81">
        <f t="shared" si="3"/>
        <v>8869.7525333763751</v>
      </c>
      <c r="F73" s="81">
        <f t="shared" si="4"/>
        <v>932994.27366551256</v>
      </c>
    </row>
    <row r="74" spans="2:11" ht="15.5">
      <c r="B74" s="78">
        <v>37</v>
      </c>
      <c r="C74" s="81">
        <f t="shared" si="1"/>
        <v>43484.84614528661</v>
      </c>
      <c r="D74" s="81">
        <f t="shared" si="2"/>
        <v>34932.398636686077</v>
      </c>
      <c r="E74" s="81">
        <f t="shared" si="3"/>
        <v>8552.4475086005314</v>
      </c>
      <c r="F74" s="81">
        <f t="shared" si="4"/>
        <v>898061.87502882653</v>
      </c>
      <c r="J74" s="235"/>
      <c r="K74" s="235"/>
    </row>
    <row r="75" spans="2:11" ht="15.5">
      <c r="B75" s="78">
        <v>38</v>
      </c>
      <c r="C75" s="81">
        <f t="shared" si="1"/>
        <v>43484.84614528661</v>
      </c>
      <c r="D75" s="81">
        <f t="shared" si="2"/>
        <v>35252.612290855701</v>
      </c>
      <c r="E75" s="81">
        <f t="shared" si="3"/>
        <v>8232.2338544309096</v>
      </c>
      <c r="F75" s="81">
        <f t="shared" si="4"/>
        <v>862809.2627379708</v>
      </c>
      <c r="J75" s="8"/>
    </row>
    <row r="76" spans="2:11" ht="15.5">
      <c r="B76" s="78">
        <v>39</v>
      </c>
      <c r="C76" s="81">
        <f t="shared" si="1"/>
        <v>43484.84614528661</v>
      </c>
      <c r="D76" s="81">
        <f t="shared" si="2"/>
        <v>35575.761236855215</v>
      </c>
      <c r="E76" s="81">
        <f t="shared" si="3"/>
        <v>7909.0849084313986</v>
      </c>
      <c r="F76" s="81">
        <f t="shared" si="4"/>
        <v>827233.50150111562</v>
      </c>
    </row>
    <row r="77" spans="2:11" ht="15.5">
      <c r="B77" s="78">
        <v>40</v>
      </c>
      <c r="C77" s="81">
        <f t="shared" si="1"/>
        <v>43484.84614528661</v>
      </c>
      <c r="D77" s="81">
        <f t="shared" si="2"/>
        <v>35901.87238152638</v>
      </c>
      <c r="E77" s="81">
        <f t="shared" si="3"/>
        <v>7582.9737637602266</v>
      </c>
      <c r="F77" s="81">
        <f t="shared" si="4"/>
        <v>791331.62911958923</v>
      </c>
    </row>
    <row r="78" spans="2:11" ht="15.5">
      <c r="B78" s="78">
        <v>41</v>
      </c>
      <c r="C78" s="81">
        <f t="shared" si="1"/>
        <v>43484.84614528661</v>
      </c>
      <c r="D78" s="81">
        <f t="shared" si="2"/>
        <v>36230.972878357046</v>
      </c>
      <c r="E78" s="81">
        <f t="shared" si="3"/>
        <v>7253.8732669295678</v>
      </c>
      <c r="F78" s="81">
        <f t="shared" si="4"/>
        <v>755100.65624123218</v>
      </c>
    </row>
    <row r="79" spans="2:11" ht="15.5">
      <c r="B79" s="78">
        <v>42</v>
      </c>
      <c r="C79" s="81">
        <f t="shared" si="1"/>
        <v>43484.84614528661</v>
      </c>
      <c r="D79" s="81">
        <f t="shared" si="2"/>
        <v>36563.090129741984</v>
      </c>
      <c r="E79" s="81">
        <f t="shared" si="3"/>
        <v>6921.7560155446281</v>
      </c>
      <c r="F79" s="81">
        <f t="shared" si="4"/>
        <v>718537.56611149025</v>
      </c>
    </row>
    <row r="80" spans="2:11" ht="15.5">
      <c r="B80" s="78">
        <v>43</v>
      </c>
      <c r="C80" s="81">
        <f t="shared" si="1"/>
        <v>43484.84614528661</v>
      </c>
      <c r="D80" s="81">
        <f t="shared" si="2"/>
        <v>36898.251789264614</v>
      </c>
      <c r="E80" s="81">
        <f t="shared" si="3"/>
        <v>6586.5943560219939</v>
      </c>
      <c r="F80" s="81">
        <f t="shared" si="4"/>
        <v>681639.31432222563</v>
      </c>
    </row>
    <row r="81" spans="2:6" ht="15.5">
      <c r="B81" s="78">
        <v>44</v>
      </c>
      <c r="C81" s="81">
        <f t="shared" si="1"/>
        <v>43484.84614528661</v>
      </c>
      <c r="D81" s="81">
        <f t="shared" si="2"/>
        <v>37236.485763999539</v>
      </c>
      <c r="E81" s="81">
        <f t="shared" si="3"/>
        <v>6248.3603812870688</v>
      </c>
      <c r="F81" s="81">
        <f t="shared" si="4"/>
        <v>644402.82855822612</v>
      </c>
    </row>
    <row r="82" spans="2:6" ht="15.5">
      <c r="B82" s="78">
        <v>45</v>
      </c>
      <c r="C82" s="81">
        <f t="shared" si="1"/>
        <v>43484.84614528661</v>
      </c>
      <c r="D82" s="81">
        <f t="shared" si="2"/>
        <v>37577.820216836204</v>
      </c>
      <c r="E82" s="81">
        <f t="shared" si="3"/>
        <v>5907.0259284504064</v>
      </c>
      <c r="F82" s="81">
        <f t="shared" si="4"/>
        <v>606825.00834138994</v>
      </c>
    </row>
    <row r="83" spans="2:6" ht="15.5">
      <c r="B83" s="78">
        <v>46</v>
      </c>
      <c r="C83" s="81">
        <f t="shared" si="1"/>
        <v>43484.84614528661</v>
      </c>
      <c r="D83" s="81">
        <f t="shared" si="2"/>
        <v>37922.28356882387</v>
      </c>
      <c r="E83" s="81">
        <f t="shared" si="3"/>
        <v>5562.5625764627412</v>
      </c>
      <c r="F83" s="81">
        <f t="shared" si="4"/>
        <v>568902.72477256611</v>
      </c>
    </row>
    <row r="84" spans="2:6" ht="15.5">
      <c r="B84" s="78">
        <v>47</v>
      </c>
      <c r="C84" s="81">
        <f t="shared" si="1"/>
        <v>43484.84614528661</v>
      </c>
      <c r="D84" s="81">
        <f t="shared" si="2"/>
        <v>38269.904501538091</v>
      </c>
      <c r="E84" s="81">
        <f t="shared" si="3"/>
        <v>5214.9416437485224</v>
      </c>
      <c r="F84" s="81">
        <f t="shared" si="4"/>
        <v>530632.82027102797</v>
      </c>
    </row>
    <row r="85" spans="2:6" ht="15.5">
      <c r="B85" s="78">
        <v>48</v>
      </c>
      <c r="C85" s="81">
        <f t="shared" si="1"/>
        <v>43484.84614528661</v>
      </c>
      <c r="D85" s="81">
        <f t="shared" si="2"/>
        <v>38620.711959468856</v>
      </c>
      <c r="E85" s="81">
        <f t="shared" si="3"/>
        <v>4864.1341858177566</v>
      </c>
      <c r="F85" s="81">
        <f t="shared" si="4"/>
        <v>492012.10831155913</v>
      </c>
    </row>
    <row r="86" spans="2:6" ht="15.5">
      <c r="B86" s="78">
        <v>49</v>
      </c>
      <c r="C86" s="81">
        <f t="shared" si="1"/>
        <v>43484.84614528661</v>
      </c>
      <c r="D86" s="81">
        <f t="shared" si="2"/>
        <v>38974.73515243065</v>
      </c>
      <c r="E86" s="81">
        <f t="shared" si="3"/>
        <v>4510.110992855959</v>
      </c>
      <c r="F86" s="81">
        <f t="shared" si="4"/>
        <v>453037.37315912847</v>
      </c>
    </row>
    <row r="87" spans="2:6" ht="15.5">
      <c r="B87" s="78">
        <v>50</v>
      </c>
      <c r="C87" s="81">
        <f t="shared" si="1"/>
        <v>43484.84614528661</v>
      </c>
      <c r="D87" s="81">
        <f t="shared" si="2"/>
        <v>39332.003557994598</v>
      </c>
      <c r="E87" s="81">
        <f t="shared" si="3"/>
        <v>4152.8425872920106</v>
      </c>
      <c r="F87" s="81">
        <f t="shared" si="4"/>
        <v>413705.36960113386</v>
      </c>
    </row>
    <row r="88" spans="2:6" ht="15.5">
      <c r="B88" s="78">
        <v>51</v>
      </c>
      <c r="C88" s="81">
        <f t="shared" si="1"/>
        <v>43484.84614528661</v>
      </c>
      <c r="D88" s="81">
        <f t="shared" si="2"/>
        <v>39692.546923942886</v>
      </c>
      <c r="E88" s="81">
        <f t="shared" si="3"/>
        <v>3792.2992213437269</v>
      </c>
      <c r="F88" s="81">
        <f t="shared" si="4"/>
        <v>374012.822677191</v>
      </c>
    </row>
    <row r="89" spans="2:6" ht="15.5">
      <c r="B89" s="78">
        <v>52</v>
      </c>
      <c r="C89" s="81">
        <f t="shared" si="1"/>
        <v>43484.84614528661</v>
      </c>
      <c r="D89" s="81">
        <f t="shared" si="2"/>
        <v>40056.395270745692</v>
      </c>
      <c r="E89" s="81">
        <f t="shared" si="3"/>
        <v>3428.4508745409175</v>
      </c>
      <c r="F89" s="81">
        <f t="shared" si="4"/>
        <v>333956.42740644532</v>
      </c>
    </row>
    <row r="90" spans="2:6" ht="15.5">
      <c r="B90" s="78">
        <v>53</v>
      </c>
      <c r="C90" s="81">
        <f t="shared" si="1"/>
        <v>43484.84614528661</v>
      </c>
      <c r="D90" s="81">
        <f t="shared" si="2"/>
        <v>40423.578894060862</v>
      </c>
      <c r="E90" s="81">
        <f t="shared" si="3"/>
        <v>3061.2672512257486</v>
      </c>
      <c r="F90" s="81">
        <f t="shared" si="4"/>
        <v>293532.84851238446</v>
      </c>
    </row>
    <row r="91" spans="2:6" ht="15.5">
      <c r="B91" s="78">
        <v>54</v>
      </c>
      <c r="C91" s="81">
        <f t="shared" si="1"/>
        <v>43484.84614528661</v>
      </c>
      <c r="D91" s="81">
        <f t="shared" si="2"/>
        <v>40794.128367256417</v>
      </c>
      <c r="E91" s="81">
        <f t="shared" si="3"/>
        <v>2690.7177780301909</v>
      </c>
      <c r="F91" s="81">
        <f t="shared" si="4"/>
        <v>252738.72014512803</v>
      </c>
    </row>
    <row r="92" spans="2:6" ht="15.5">
      <c r="B92" s="78">
        <v>55</v>
      </c>
      <c r="C92" s="81">
        <f t="shared" si="1"/>
        <v>43484.84614528661</v>
      </c>
      <c r="D92" s="81">
        <f t="shared" si="2"/>
        <v>41168.074543956267</v>
      </c>
      <c r="E92" s="81">
        <f t="shared" si="3"/>
        <v>2316.7716013303402</v>
      </c>
      <c r="F92" s="81">
        <f t="shared" si="4"/>
        <v>211570.64560117177</v>
      </c>
    </row>
    <row r="93" spans="2:6" ht="15.5">
      <c r="B93" s="78">
        <v>56</v>
      </c>
      <c r="C93" s="81">
        <f t="shared" si="1"/>
        <v>43484.84614528661</v>
      </c>
      <c r="D93" s="81">
        <f t="shared" si="2"/>
        <v>41545.448560609206</v>
      </c>
      <c r="E93" s="81">
        <f t="shared" si="3"/>
        <v>1939.3975846774078</v>
      </c>
      <c r="F93" s="81">
        <f t="shared" si="4"/>
        <v>170025.19704056258</v>
      </c>
    </row>
    <row r="94" spans="2:6" ht="15.5">
      <c r="B94" s="78">
        <v>57</v>
      </c>
      <c r="C94" s="81">
        <f t="shared" si="1"/>
        <v>43484.84614528661</v>
      </c>
      <c r="D94" s="81">
        <f t="shared" si="2"/>
        <v>41926.28183908145</v>
      </c>
      <c r="E94" s="81">
        <f t="shared" si="3"/>
        <v>1558.564306205157</v>
      </c>
      <c r="F94" s="81">
        <f t="shared" si="4"/>
        <v>128098.91520148113</v>
      </c>
    </row>
    <row r="95" spans="2:6" ht="15.5">
      <c r="B95" s="78">
        <v>58</v>
      </c>
      <c r="C95" s="81">
        <f t="shared" si="1"/>
        <v>43484.84614528661</v>
      </c>
      <c r="D95" s="81">
        <f t="shared" si="2"/>
        <v>42310.606089273031</v>
      </c>
      <c r="E95" s="81">
        <f t="shared" si="3"/>
        <v>1174.240056013577</v>
      </c>
      <c r="F95" s="81">
        <f t="shared" si="4"/>
        <v>85788.309112208095</v>
      </c>
    </row>
    <row r="96" spans="2:6" ht="15.5">
      <c r="B96" s="78">
        <v>59</v>
      </c>
      <c r="C96" s="81">
        <f t="shared" si="1"/>
        <v>43484.84614528661</v>
      </c>
      <c r="D96" s="81">
        <f t="shared" si="2"/>
        <v>42698.453311758036</v>
      </c>
      <c r="E96" s="81">
        <f t="shared" si="3"/>
        <v>786.39283352857422</v>
      </c>
      <c r="F96" s="81">
        <f t="shared" si="4"/>
        <v>43089.855800450059</v>
      </c>
    </row>
    <row r="97" spans="2:6" ht="15.5">
      <c r="B97" s="78">
        <v>60</v>
      </c>
      <c r="C97" s="81">
        <f t="shared" si="1"/>
        <v>43484.84614528661</v>
      </c>
      <c r="D97" s="81">
        <f t="shared" si="2"/>
        <v>43089.85580044915</v>
      </c>
      <c r="E97" s="81">
        <f t="shared" si="3"/>
        <v>394.99034483745891</v>
      </c>
      <c r="F97" s="81">
        <f t="shared" si="4"/>
        <v>9.0949470177292824E-10</v>
      </c>
    </row>
  </sheetData>
  <mergeCells count="5">
    <mergeCell ref="J20:K20"/>
    <mergeCell ref="J22:K22"/>
    <mergeCell ref="J38:K38"/>
    <mergeCell ref="J39:K39"/>
    <mergeCell ref="J74:K7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BD1F8-9F46-4B12-838A-FCB74C7D657F}">
  <dimension ref="A1:P152"/>
  <sheetViews>
    <sheetView topLeftCell="A91" workbookViewId="0">
      <selection activeCell="D103" sqref="D103"/>
    </sheetView>
  </sheetViews>
  <sheetFormatPr defaultRowHeight="15.5"/>
  <cols>
    <col min="1" max="2" width="8.7265625" style="2"/>
    <col min="3" max="3" width="11.08984375" style="2" customWidth="1"/>
    <col min="4" max="4" width="10.81640625" style="2" bestFit="1" customWidth="1"/>
    <col min="5" max="5" width="25.6328125" style="2" bestFit="1" customWidth="1"/>
    <col min="6" max="6" width="14.54296875" style="2" bestFit="1" customWidth="1"/>
    <col min="7" max="7" width="11.90625" style="2" bestFit="1" customWidth="1"/>
    <col min="8" max="8" width="18.08984375" style="2" bestFit="1" customWidth="1"/>
    <col min="9" max="9" width="16.26953125" style="2" bestFit="1" customWidth="1"/>
    <col min="10" max="10" width="13.54296875" style="2" bestFit="1" customWidth="1"/>
    <col min="11" max="11" width="15.08984375" style="2" bestFit="1" customWidth="1"/>
    <col min="12" max="12" width="18.81640625" style="153" bestFit="1" customWidth="1"/>
    <col min="13" max="13" width="15" style="2" bestFit="1" customWidth="1"/>
    <col min="14" max="16384" width="8.7265625" style="2"/>
  </cols>
  <sheetData>
    <row r="1" spans="1:15">
      <c r="A1" s="238" t="s">
        <v>62</v>
      </c>
      <c r="B1" s="238"/>
      <c r="C1" s="238"/>
      <c r="D1" s="238"/>
      <c r="E1" s="238"/>
      <c r="F1" s="238"/>
      <c r="G1" s="238"/>
    </row>
    <row r="2" spans="1:15">
      <c r="A2" s="1" t="s">
        <v>63</v>
      </c>
      <c r="B2" s="1"/>
      <c r="C2" s="1"/>
      <c r="D2" s="1"/>
      <c r="E2" s="1"/>
      <c r="F2" s="1"/>
      <c r="G2" s="1"/>
      <c r="H2" s="1"/>
      <c r="I2" s="1"/>
      <c r="J2" s="1"/>
      <c r="K2" s="1"/>
      <c r="M2" s="1"/>
      <c r="N2" s="1"/>
      <c r="O2" s="1"/>
    </row>
    <row r="3" spans="1:15">
      <c r="A3" s="149"/>
      <c r="B3" s="149"/>
      <c r="C3" s="149"/>
      <c r="D3" s="149"/>
      <c r="E3" s="149"/>
      <c r="F3" s="149"/>
      <c r="G3" s="149"/>
      <c r="H3" s="1"/>
      <c r="I3" s="1"/>
      <c r="J3" s="1"/>
      <c r="K3" s="1"/>
      <c r="M3" s="1"/>
      <c r="N3" s="1"/>
      <c r="O3" s="1"/>
    </row>
    <row r="4" spans="1:15">
      <c r="A4" s="150" t="s">
        <v>30</v>
      </c>
      <c r="B4" s="149" t="s">
        <v>64</v>
      </c>
      <c r="C4" s="149"/>
      <c r="D4" s="149"/>
      <c r="E4" s="149"/>
      <c r="F4" s="149"/>
      <c r="G4" s="149"/>
      <c r="H4" s="1"/>
      <c r="I4" s="1"/>
      <c r="J4" s="1"/>
      <c r="K4" s="1"/>
      <c r="M4" s="1"/>
      <c r="N4" s="1"/>
      <c r="O4" s="1"/>
    </row>
    <row r="5" spans="1:15">
      <c r="A5" s="150" t="s">
        <v>32</v>
      </c>
      <c r="B5" s="149" t="s">
        <v>65</v>
      </c>
      <c r="C5" s="149"/>
      <c r="D5" s="149"/>
      <c r="E5" s="149"/>
      <c r="F5" s="149"/>
      <c r="G5" s="149"/>
      <c r="H5" s="1"/>
      <c r="I5" s="1"/>
      <c r="J5" s="1"/>
      <c r="K5" s="1"/>
      <c r="M5" s="1"/>
      <c r="N5" s="1"/>
      <c r="O5" s="1"/>
    </row>
    <row r="6" spans="1:15">
      <c r="A6" s="150" t="s">
        <v>34</v>
      </c>
      <c r="B6" s="149" t="s">
        <v>66</v>
      </c>
      <c r="C6" s="149"/>
      <c r="D6" s="149"/>
      <c r="E6" s="149"/>
      <c r="F6" s="149"/>
      <c r="G6" s="149"/>
      <c r="H6" s="1"/>
      <c r="I6" s="1"/>
      <c r="J6" s="1"/>
      <c r="K6" s="1"/>
      <c r="M6" s="1"/>
      <c r="N6" s="1"/>
      <c r="O6" s="1"/>
    </row>
    <row r="7" spans="1:15">
      <c r="A7" s="149"/>
      <c r="B7" s="149"/>
      <c r="C7" s="149"/>
      <c r="D7" s="149"/>
      <c r="E7" s="149"/>
      <c r="F7" s="149"/>
      <c r="G7" s="149"/>
      <c r="H7" s="1"/>
      <c r="I7" s="1"/>
      <c r="J7" s="1"/>
      <c r="K7" s="1"/>
      <c r="M7" s="1"/>
      <c r="N7" s="1"/>
      <c r="O7" s="1"/>
    </row>
    <row r="8" spans="1:15">
      <c r="A8" s="8" t="s">
        <v>67</v>
      </c>
      <c r="B8" s="1"/>
      <c r="C8" s="1"/>
      <c r="D8" s="1"/>
      <c r="E8" s="1"/>
      <c r="F8" s="1"/>
      <c r="G8" s="1"/>
      <c r="H8" s="1"/>
      <c r="I8" s="1"/>
      <c r="J8" s="1"/>
      <c r="K8" s="1"/>
      <c r="M8" s="1"/>
      <c r="N8" s="1"/>
      <c r="O8" s="1"/>
    </row>
    <row r="9" spans="1:15" ht="18.5">
      <c r="A9" s="151" t="s">
        <v>396</v>
      </c>
      <c r="B9" s="1"/>
      <c r="C9" s="1"/>
      <c r="D9" s="1"/>
      <c r="E9" s="1"/>
      <c r="F9" s="1"/>
      <c r="H9" s="1"/>
      <c r="I9" s="1"/>
      <c r="J9" s="1"/>
      <c r="K9" s="1"/>
      <c r="N9" s="1"/>
      <c r="O9" s="1"/>
    </row>
    <row r="10" spans="1:15">
      <c r="A10" s="1"/>
      <c r="B10" s="1" t="s">
        <v>68</v>
      </c>
      <c r="C10" s="1"/>
      <c r="D10" s="1"/>
      <c r="E10" s="1"/>
      <c r="F10" s="1"/>
      <c r="G10" s="1"/>
      <c r="H10" s="1"/>
      <c r="I10" s="1"/>
      <c r="J10" s="1"/>
      <c r="K10" s="1"/>
      <c r="M10" s="1"/>
      <c r="N10" s="1"/>
      <c r="O10" s="1"/>
    </row>
    <row r="11" spans="1:15">
      <c r="A11" s="151" t="s">
        <v>32</v>
      </c>
      <c r="B11" s="1" t="s">
        <v>69</v>
      </c>
      <c r="C11" s="1"/>
      <c r="D11" s="1"/>
      <c r="E11" s="1"/>
      <c r="F11" s="1"/>
      <c r="G11" s="1"/>
      <c r="H11" s="1"/>
      <c r="I11" s="1"/>
      <c r="J11" s="1"/>
      <c r="K11" s="1"/>
      <c r="M11" s="1"/>
      <c r="N11" s="1"/>
      <c r="O11" s="1"/>
    </row>
    <row r="12" spans="1:15">
      <c r="A12" s="151" t="s">
        <v>34</v>
      </c>
      <c r="B12" s="1" t="s">
        <v>70</v>
      </c>
      <c r="C12" s="1"/>
      <c r="D12" s="1"/>
      <c r="E12" s="1"/>
      <c r="F12" s="1"/>
      <c r="G12" s="1"/>
      <c r="H12" s="1"/>
      <c r="I12" s="152"/>
      <c r="J12" s="1"/>
      <c r="K12" s="1"/>
      <c r="M12" s="1"/>
      <c r="N12" s="1"/>
      <c r="O12" s="1"/>
    </row>
    <row r="13" spans="1:15">
      <c r="A13" s="151" t="s">
        <v>37</v>
      </c>
      <c r="B13" s="1" t="s">
        <v>71</v>
      </c>
      <c r="C13" s="1"/>
      <c r="D13" s="1"/>
      <c r="E13" s="1"/>
      <c r="F13" s="1"/>
      <c r="G13" s="1"/>
      <c r="H13" s="1"/>
      <c r="I13" s="1"/>
      <c r="J13" s="1"/>
      <c r="K13" s="1"/>
      <c r="M13" s="1"/>
      <c r="N13" s="1"/>
      <c r="O13" s="1"/>
    </row>
    <row r="14" spans="1:15">
      <c r="A14" s="151" t="s">
        <v>39</v>
      </c>
      <c r="B14" s="1" t="s">
        <v>72</v>
      </c>
      <c r="C14" s="1"/>
      <c r="D14" s="1"/>
      <c r="E14" s="1"/>
      <c r="F14" s="1"/>
      <c r="G14" s="1"/>
      <c r="H14" s="1"/>
      <c r="I14" s="1"/>
      <c r="J14" s="1"/>
      <c r="K14" s="1"/>
      <c r="M14" s="1"/>
      <c r="N14" s="1"/>
      <c r="O14" s="1"/>
    </row>
    <row r="15" spans="1:15">
      <c r="A15" s="1"/>
      <c r="B15" s="1" t="s">
        <v>73</v>
      </c>
      <c r="C15" s="1"/>
      <c r="D15" s="1"/>
      <c r="E15" s="1"/>
      <c r="F15" s="1"/>
      <c r="G15" s="1"/>
      <c r="H15" s="1"/>
      <c r="I15" s="1"/>
      <c r="J15" s="1"/>
      <c r="K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N16" s="1"/>
      <c r="O16" s="1"/>
    </row>
    <row r="17" spans="1:16">
      <c r="A17" s="69" t="s">
        <v>74</v>
      </c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N17" s="1"/>
      <c r="O17" s="1"/>
    </row>
    <row r="18" spans="1:16">
      <c r="A18" s="68" t="s">
        <v>75</v>
      </c>
      <c r="B18" s="1"/>
      <c r="C18" s="1"/>
      <c r="D18" s="1"/>
      <c r="E18" s="1"/>
      <c r="F18" s="1"/>
      <c r="G18" s="1"/>
      <c r="H18" s="1"/>
      <c r="I18" s="68"/>
      <c r="J18" s="1"/>
      <c r="K18" s="1"/>
      <c r="M18" s="1"/>
      <c r="N18" s="73"/>
      <c r="O18" s="1"/>
    </row>
    <row r="19" spans="1:16">
      <c r="E19" s="2" t="s">
        <v>356</v>
      </c>
      <c r="F19" s="153">
        <v>5700000</v>
      </c>
      <c r="J19" s="154" t="s">
        <v>76</v>
      </c>
      <c r="K19" s="154"/>
      <c r="P19" s="69" t="s">
        <v>77</v>
      </c>
    </row>
    <row r="20" spans="1:16">
      <c r="E20" s="2" t="s">
        <v>395</v>
      </c>
      <c r="F20" s="155">
        <v>0.125</v>
      </c>
      <c r="I20" s="2" t="s">
        <v>402</v>
      </c>
      <c r="J20" s="2" t="s">
        <v>350</v>
      </c>
    </row>
    <row r="21" spans="1:16">
      <c r="E21" s="2" t="s">
        <v>341</v>
      </c>
      <c r="F21" s="153">
        <v>10</v>
      </c>
      <c r="I21" s="2" t="s">
        <v>348</v>
      </c>
      <c r="J21" s="2">
        <v>12</v>
      </c>
    </row>
    <row r="22" spans="1:16" ht="17" customHeight="1"/>
    <row r="23" spans="1:16" ht="17" customHeight="1">
      <c r="E23" s="2" t="s">
        <v>398</v>
      </c>
      <c r="F23" s="2" t="s">
        <v>348</v>
      </c>
    </row>
    <row r="24" spans="1:16" ht="17" customHeight="1">
      <c r="E24" s="2" t="s">
        <v>400</v>
      </c>
      <c r="F24" s="2" t="s">
        <v>399</v>
      </c>
    </row>
    <row r="25" spans="1:16">
      <c r="I25" s="2" t="s">
        <v>405</v>
      </c>
    </row>
    <row r="26" spans="1:16">
      <c r="E26" s="2" t="s">
        <v>403</v>
      </c>
      <c r="F26" s="2">
        <f>F20/12</f>
        <v>1.0416666666666666E-2</v>
      </c>
    </row>
    <row r="27" spans="1:16">
      <c r="E27" s="2" t="s">
        <v>404</v>
      </c>
      <c r="F27" s="153">
        <f>F21*12</f>
        <v>120</v>
      </c>
      <c r="I27" s="2" t="s">
        <v>407</v>
      </c>
    </row>
    <row r="28" spans="1:16">
      <c r="E28" s="2" t="s">
        <v>397</v>
      </c>
      <c r="F28" s="153">
        <f>-PMT(F26,F27,F19,0,0)</f>
        <v>83434.416143614653</v>
      </c>
      <c r="I28" s="2" t="s">
        <v>385</v>
      </c>
    </row>
    <row r="32" spans="1:16">
      <c r="E32" s="156" t="s">
        <v>388</v>
      </c>
      <c r="F32" s="156" t="s">
        <v>406</v>
      </c>
      <c r="G32" s="156" t="s">
        <v>389</v>
      </c>
      <c r="H32" s="156" t="s">
        <v>390</v>
      </c>
      <c r="I32" s="156" t="s">
        <v>343</v>
      </c>
      <c r="J32" s="156" t="s">
        <v>379</v>
      </c>
      <c r="K32" s="156" t="s">
        <v>401</v>
      </c>
      <c r="L32" s="156" t="s">
        <v>392</v>
      </c>
      <c r="M32" s="156" t="s">
        <v>393</v>
      </c>
    </row>
    <row r="33" spans="5:13">
      <c r="E33" s="2">
        <v>1</v>
      </c>
      <c r="F33" s="153">
        <v>5700000</v>
      </c>
      <c r="H33" s="153">
        <f>F33+G33</f>
        <v>5700000</v>
      </c>
      <c r="I33" s="153">
        <f>-PMT(12.5%/12,10*12,$H$33,0,0)</f>
        <v>83434.416143614653</v>
      </c>
      <c r="J33" s="153">
        <f>(12.5%/12)*H33</f>
        <v>59375</v>
      </c>
      <c r="K33" s="153">
        <f>I33-J33</f>
        <v>24059.416143614653</v>
      </c>
      <c r="M33" s="153">
        <f>H33-K33-L33</f>
        <v>5675940.5838563852</v>
      </c>
    </row>
    <row r="34" spans="5:13">
      <c r="E34" s="2">
        <v>2</v>
      </c>
      <c r="F34" s="153">
        <f>M33</f>
        <v>5675940.5838563852</v>
      </c>
      <c r="H34" s="153">
        <f t="shared" ref="H34:H97" si="0">F34+G34</f>
        <v>5675940.5838563852</v>
      </c>
      <c r="I34" s="153">
        <f t="shared" ref="I34:I52" si="1">-PMT(12.5%/12,10*12,$H$33,0,0)</f>
        <v>83434.416143614653</v>
      </c>
      <c r="J34" s="153">
        <f t="shared" ref="J34:J80" si="2">(12.5%/12)*H34</f>
        <v>59124.381081837346</v>
      </c>
      <c r="K34" s="153">
        <f t="shared" ref="K34:K97" si="3">I34-J34</f>
        <v>24310.035061777307</v>
      </c>
      <c r="M34" s="153">
        <f t="shared" ref="M34:M97" si="4">H34-K34-L34</f>
        <v>5651630.5487946076</v>
      </c>
    </row>
    <row r="35" spans="5:13">
      <c r="E35" s="2">
        <v>3</v>
      </c>
      <c r="F35" s="153">
        <f t="shared" ref="F35:F98" si="5">M34</f>
        <v>5651630.5487946076</v>
      </c>
      <c r="H35" s="153">
        <f t="shared" si="0"/>
        <v>5651630.5487946076</v>
      </c>
      <c r="I35" s="153">
        <f t="shared" si="1"/>
        <v>83434.416143614653</v>
      </c>
      <c r="J35" s="153">
        <f t="shared" si="2"/>
        <v>58871.151549943825</v>
      </c>
      <c r="K35" s="153">
        <f t="shared" si="3"/>
        <v>24563.264593670829</v>
      </c>
      <c r="M35" s="153">
        <f t="shared" si="4"/>
        <v>5627067.2842009366</v>
      </c>
    </row>
    <row r="36" spans="5:13">
      <c r="E36" s="2">
        <v>4</v>
      </c>
      <c r="F36" s="153">
        <f t="shared" si="5"/>
        <v>5627067.2842009366</v>
      </c>
      <c r="H36" s="153">
        <f t="shared" si="0"/>
        <v>5627067.2842009366</v>
      </c>
      <c r="I36" s="153">
        <f t="shared" si="1"/>
        <v>83434.416143614653</v>
      </c>
      <c r="J36" s="153">
        <f t="shared" si="2"/>
        <v>58615.28421042642</v>
      </c>
      <c r="K36" s="153">
        <f t="shared" si="3"/>
        <v>24819.131933188233</v>
      </c>
      <c r="M36" s="153">
        <f t="shared" si="4"/>
        <v>5602248.1522677485</v>
      </c>
    </row>
    <row r="37" spans="5:13">
      <c r="E37" s="2">
        <v>5</v>
      </c>
      <c r="F37" s="153">
        <f t="shared" si="5"/>
        <v>5602248.1522677485</v>
      </c>
      <c r="H37" s="153">
        <f t="shared" si="0"/>
        <v>5602248.1522677485</v>
      </c>
      <c r="I37" s="153">
        <f t="shared" si="1"/>
        <v>83434.416143614653</v>
      </c>
      <c r="J37" s="153">
        <f t="shared" si="2"/>
        <v>58356.75158612238</v>
      </c>
      <c r="K37" s="153">
        <f t="shared" si="3"/>
        <v>25077.664557492273</v>
      </c>
      <c r="M37" s="153">
        <f t="shared" si="4"/>
        <v>5577170.4877102561</v>
      </c>
    </row>
    <row r="38" spans="5:13">
      <c r="E38" s="2">
        <v>6</v>
      </c>
      <c r="F38" s="153">
        <f t="shared" si="5"/>
        <v>5577170.4877102561</v>
      </c>
      <c r="H38" s="153">
        <f t="shared" si="0"/>
        <v>5577170.4877102561</v>
      </c>
      <c r="I38" s="153">
        <f t="shared" si="1"/>
        <v>83434.416143614653</v>
      </c>
      <c r="J38" s="153">
        <f t="shared" si="2"/>
        <v>58095.525913648496</v>
      </c>
      <c r="K38" s="153">
        <f t="shared" si="3"/>
        <v>25338.890229966157</v>
      </c>
      <c r="M38" s="153">
        <f t="shared" si="4"/>
        <v>5551831.5974802896</v>
      </c>
    </row>
    <row r="39" spans="5:13">
      <c r="E39" s="2">
        <v>7</v>
      </c>
      <c r="F39" s="153">
        <f t="shared" si="5"/>
        <v>5551831.5974802896</v>
      </c>
      <c r="H39" s="153">
        <f t="shared" si="0"/>
        <v>5551831.5974802896</v>
      </c>
      <c r="I39" s="153">
        <f t="shared" si="1"/>
        <v>83434.416143614653</v>
      </c>
      <c r="J39" s="153">
        <f t="shared" si="2"/>
        <v>57831.579140419679</v>
      </c>
      <c r="K39" s="153">
        <f t="shared" si="3"/>
        <v>25602.837003194974</v>
      </c>
      <c r="M39" s="153">
        <f t="shared" si="4"/>
        <v>5526228.7604770949</v>
      </c>
    </row>
    <row r="40" spans="5:13">
      <c r="E40" s="2">
        <v>8</v>
      </c>
      <c r="F40" s="153">
        <f t="shared" si="5"/>
        <v>5526228.7604770949</v>
      </c>
      <c r="H40" s="153">
        <f t="shared" si="0"/>
        <v>5526228.7604770949</v>
      </c>
      <c r="I40" s="153">
        <f t="shared" si="1"/>
        <v>83434.416143614653</v>
      </c>
      <c r="J40" s="153">
        <f t="shared" si="2"/>
        <v>57564.882921636403</v>
      </c>
      <c r="K40" s="153">
        <f t="shared" si="3"/>
        <v>25869.53322197825</v>
      </c>
      <c r="M40" s="153">
        <f t="shared" si="4"/>
        <v>5500359.2272551162</v>
      </c>
    </row>
    <row r="41" spans="5:13">
      <c r="E41" s="2">
        <v>9</v>
      </c>
      <c r="F41" s="153">
        <f t="shared" si="5"/>
        <v>5500359.2272551162</v>
      </c>
      <c r="H41" s="153">
        <f t="shared" si="0"/>
        <v>5500359.2272551162</v>
      </c>
      <c r="I41" s="153">
        <f t="shared" si="1"/>
        <v>83434.416143614653</v>
      </c>
      <c r="J41" s="153">
        <f t="shared" si="2"/>
        <v>57295.408617240792</v>
      </c>
      <c r="K41" s="153">
        <f t="shared" si="3"/>
        <v>26139.007526373862</v>
      </c>
      <c r="M41" s="153">
        <f t="shared" si="4"/>
        <v>5474220.2197287427</v>
      </c>
    </row>
    <row r="42" spans="5:13">
      <c r="E42" s="2">
        <v>10</v>
      </c>
      <c r="F42" s="153">
        <f t="shared" si="5"/>
        <v>5474220.2197287427</v>
      </c>
      <c r="H42" s="153">
        <f t="shared" si="0"/>
        <v>5474220.2197287427</v>
      </c>
      <c r="I42" s="153">
        <f t="shared" si="1"/>
        <v>83434.416143614653</v>
      </c>
      <c r="J42" s="153">
        <f t="shared" si="2"/>
        <v>57023.127288841068</v>
      </c>
      <c r="K42" s="153">
        <f t="shared" si="3"/>
        <v>26411.288854773586</v>
      </c>
      <c r="M42" s="153">
        <f t="shared" si="4"/>
        <v>5447808.9308739696</v>
      </c>
    </row>
    <row r="43" spans="5:13">
      <c r="E43" s="2">
        <v>11</v>
      </c>
      <c r="F43" s="153">
        <f t="shared" si="5"/>
        <v>5447808.9308739696</v>
      </c>
      <c r="H43" s="153">
        <f t="shared" si="0"/>
        <v>5447808.9308739696</v>
      </c>
      <c r="I43" s="153">
        <f t="shared" si="1"/>
        <v>83434.416143614653</v>
      </c>
      <c r="J43" s="153">
        <f t="shared" si="2"/>
        <v>56748.009696603847</v>
      </c>
      <c r="K43" s="153">
        <f t="shared" si="3"/>
        <v>26686.406447010806</v>
      </c>
      <c r="M43" s="153">
        <f t="shared" si="4"/>
        <v>5421122.5244269585</v>
      </c>
    </row>
    <row r="44" spans="5:13">
      <c r="E44" s="2">
        <v>12</v>
      </c>
      <c r="F44" s="153">
        <f t="shared" si="5"/>
        <v>5421122.5244269585</v>
      </c>
      <c r="H44" s="153">
        <f t="shared" si="0"/>
        <v>5421122.5244269585</v>
      </c>
      <c r="I44" s="153">
        <f t="shared" si="1"/>
        <v>83434.416143614653</v>
      </c>
      <c r="J44" s="153">
        <f t="shared" si="2"/>
        <v>56470.026296114149</v>
      </c>
      <c r="K44" s="153">
        <f t="shared" si="3"/>
        <v>26964.389847500504</v>
      </c>
      <c r="M44" s="153">
        <f t="shared" si="4"/>
        <v>5394158.1345794583</v>
      </c>
    </row>
    <row r="45" spans="5:13">
      <c r="E45" s="2">
        <v>13</v>
      </c>
      <c r="F45" s="153">
        <f t="shared" si="5"/>
        <v>5394158.1345794583</v>
      </c>
      <c r="H45" s="153">
        <f t="shared" si="0"/>
        <v>5394158.1345794583</v>
      </c>
      <c r="I45" s="153">
        <f t="shared" si="1"/>
        <v>83434.416143614653</v>
      </c>
      <c r="J45" s="153">
        <f t="shared" si="2"/>
        <v>56189.14723520269</v>
      </c>
      <c r="K45" s="153">
        <f t="shared" si="3"/>
        <v>27245.268908411963</v>
      </c>
      <c r="M45" s="153">
        <f t="shared" si="4"/>
        <v>5366912.8656710461</v>
      </c>
    </row>
    <row r="46" spans="5:13">
      <c r="E46" s="2">
        <v>14</v>
      </c>
      <c r="F46" s="153">
        <f t="shared" si="5"/>
        <v>5366912.8656710461</v>
      </c>
      <c r="H46" s="153">
        <f t="shared" si="0"/>
        <v>5366912.8656710461</v>
      </c>
      <c r="I46" s="153">
        <f t="shared" si="1"/>
        <v>83434.416143614653</v>
      </c>
      <c r="J46" s="153">
        <f t="shared" si="2"/>
        <v>55905.342350740058</v>
      </c>
      <c r="K46" s="153">
        <f t="shared" si="3"/>
        <v>27529.073792874595</v>
      </c>
      <c r="M46" s="153">
        <f t="shared" si="4"/>
        <v>5339383.7918781713</v>
      </c>
    </row>
    <row r="47" spans="5:13">
      <c r="E47" s="2">
        <v>15</v>
      </c>
      <c r="F47" s="153">
        <f t="shared" si="5"/>
        <v>5339383.7918781713</v>
      </c>
      <c r="H47" s="153">
        <f t="shared" si="0"/>
        <v>5339383.7918781713</v>
      </c>
      <c r="I47" s="153">
        <f t="shared" si="1"/>
        <v>83434.416143614653</v>
      </c>
      <c r="J47" s="153">
        <f t="shared" si="2"/>
        <v>55618.581165397612</v>
      </c>
      <c r="K47" s="153">
        <f t="shared" si="3"/>
        <v>27815.834978217041</v>
      </c>
      <c r="M47" s="153">
        <f t="shared" si="4"/>
        <v>5311567.956899954</v>
      </c>
    </row>
    <row r="48" spans="5:13">
      <c r="E48" s="2">
        <v>16</v>
      </c>
      <c r="F48" s="153">
        <f t="shared" si="5"/>
        <v>5311567.956899954</v>
      </c>
      <c r="H48" s="153">
        <f t="shared" si="0"/>
        <v>5311567.956899954</v>
      </c>
      <c r="I48" s="153">
        <f t="shared" si="1"/>
        <v>83434.416143614653</v>
      </c>
      <c r="J48" s="153">
        <f t="shared" si="2"/>
        <v>55328.832884374518</v>
      </c>
      <c r="K48" s="153">
        <f t="shared" si="3"/>
        <v>28105.583259240135</v>
      </c>
      <c r="M48" s="153">
        <f t="shared" si="4"/>
        <v>5283462.3736407142</v>
      </c>
    </row>
    <row r="49" spans="3:13">
      <c r="E49" s="2">
        <v>17</v>
      </c>
      <c r="F49" s="153">
        <f t="shared" si="5"/>
        <v>5283462.3736407142</v>
      </c>
      <c r="H49" s="153">
        <f t="shared" si="0"/>
        <v>5283462.3736407142</v>
      </c>
      <c r="I49" s="153">
        <f t="shared" si="1"/>
        <v>83434.416143614653</v>
      </c>
      <c r="J49" s="153">
        <f t="shared" si="2"/>
        <v>55036.066392090768</v>
      </c>
      <c r="K49" s="153">
        <f t="shared" si="3"/>
        <v>28398.349751523885</v>
      </c>
      <c r="M49" s="153">
        <f t="shared" si="4"/>
        <v>5255064.0238891905</v>
      </c>
    </row>
    <row r="50" spans="3:13">
      <c r="E50" s="2">
        <v>18</v>
      </c>
      <c r="F50" s="153">
        <f t="shared" si="5"/>
        <v>5255064.0238891905</v>
      </c>
      <c r="H50" s="153">
        <f t="shared" si="0"/>
        <v>5255064.0238891905</v>
      </c>
      <c r="I50" s="153">
        <f t="shared" si="1"/>
        <v>83434.416143614653</v>
      </c>
      <c r="J50" s="153">
        <f t="shared" si="2"/>
        <v>54740.250248845732</v>
      </c>
      <c r="K50" s="153">
        <f t="shared" si="3"/>
        <v>28694.165894768921</v>
      </c>
      <c r="M50" s="153">
        <f t="shared" si="4"/>
        <v>5226369.8579944214</v>
      </c>
    </row>
    <row r="51" spans="3:13">
      <c r="E51" s="2">
        <v>19</v>
      </c>
      <c r="F51" s="153">
        <f t="shared" si="5"/>
        <v>5226369.8579944214</v>
      </c>
      <c r="H51" s="153">
        <f t="shared" si="0"/>
        <v>5226369.8579944214</v>
      </c>
      <c r="I51" s="153">
        <f t="shared" si="1"/>
        <v>83434.416143614653</v>
      </c>
      <c r="J51" s="153">
        <f t="shared" si="2"/>
        <v>54441.352687441889</v>
      </c>
      <c r="K51" s="153">
        <f t="shared" si="3"/>
        <v>28993.063456172764</v>
      </c>
      <c r="M51" s="153">
        <f t="shared" si="4"/>
        <v>5197376.7945382483</v>
      </c>
    </row>
    <row r="52" spans="3:13" s="157" customFormat="1">
      <c r="E52" s="157">
        <v>20</v>
      </c>
      <c r="F52" s="158">
        <f t="shared" si="5"/>
        <v>5197376.7945382483</v>
      </c>
      <c r="H52" s="158">
        <f t="shared" si="0"/>
        <v>5197376.7945382483</v>
      </c>
      <c r="I52" s="158">
        <f t="shared" si="1"/>
        <v>83434.416143614653</v>
      </c>
      <c r="J52" s="158">
        <f t="shared" si="2"/>
        <v>54139.341609773415</v>
      </c>
      <c r="K52" s="158">
        <f t="shared" si="3"/>
        <v>29295.074533841238</v>
      </c>
      <c r="L52" s="153">
        <v>550000</v>
      </c>
      <c r="M52" s="158">
        <f t="shared" si="4"/>
        <v>4618081.7200044068</v>
      </c>
    </row>
    <row r="53" spans="3:13">
      <c r="E53" s="2">
        <v>21</v>
      </c>
      <c r="F53" s="153">
        <f t="shared" si="5"/>
        <v>4618081.7200044068</v>
      </c>
      <c r="H53" s="153">
        <f t="shared" si="0"/>
        <v>4618081.7200044068</v>
      </c>
      <c r="I53" s="153">
        <f>-PMT(12.5%/12,100,$D$54,0,0)</f>
        <v>74555.11984662246</v>
      </c>
      <c r="J53" s="153">
        <f>(12.5%/12)*H53</f>
        <v>48105.017916712568</v>
      </c>
      <c r="K53" s="153">
        <f t="shared" si="3"/>
        <v>26450.101929909892</v>
      </c>
      <c r="M53" s="153">
        <f t="shared" si="4"/>
        <v>4591631.6180744972</v>
      </c>
    </row>
    <row r="54" spans="3:13">
      <c r="C54" s="2" t="s">
        <v>340</v>
      </c>
      <c r="D54" s="153">
        <f>H53</f>
        <v>4618081.7200044068</v>
      </c>
      <c r="E54" s="2">
        <v>22</v>
      </c>
      <c r="F54" s="153">
        <f t="shared" si="5"/>
        <v>4591631.6180744972</v>
      </c>
      <c r="H54" s="153">
        <f t="shared" si="0"/>
        <v>4591631.6180744972</v>
      </c>
      <c r="I54" s="153">
        <f t="shared" ref="I54:I80" si="6">-PMT(12.5%/12,100,$D$54,0,0)</f>
        <v>74555.11984662246</v>
      </c>
      <c r="J54" s="153">
        <f t="shared" si="2"/>
        <v>47829.496021609346</v>
      </c>
      <c r="K54" s="153">
        <f t="shared" si="3"/>
        <v>26725.623825013114</v>
      </c>
      <c r="M54" s="153">
        <f t="shared" si="4"/>
        <v>4564905.9942494845</v>
      </c>
    </row>
    <row r="55" spans="3:13">
      <c r="C55" s="2" t="s">
        <v>395</v>
      </c>
      <c r="D55" s="155">
        <v>0.125</v>
      </c>
      <c r="E55" s="2">
        <v>23</v>
      </c>
      <c r="F55" s="153">
        <f t="shared" si="5"/>
        <v>4564905.9942494845</v>
      </c>
      <c r="H55" s="153">
        <f t="shared" si="0"/>
        <v>4564905.9942494845</v>
      </c>
      <c r="I55" s="153">
        <f t="shared" si="6"/>
        <v>74555.11984662246</v>
      </c>
      <c r="J55" s="153">
        <f t="shared" si="2"/>
        <v>47551.104106765459</v>
      </c>
      <c r="K55" s="153">
        <f t="shared" si="3"/>
        <v>27004.015739857001</v>
      </c>
      <c r="M55" s="153">
        <f t="shared" si="4"/>
        <v>4537901.9785096273</v>
      </c>
    </row>
    <row r="56" spans="3:13">
      <c r="C56" s="2" t="s">
        <v>408</v>
      </c>
      <c r="D56" s="2">
        <v>100</v>
      </c>
      <c r="E56" s="2">
        <v>24</v>
      </c>
      <c r="F56" s="153">
        <f t="shared" si="5"/>
        <v>4537901.9785096273</v>
      </c>
      <c r="H56" s="153">
        <f t="shared" si="0"/>
        <v>4537901.9785096273</v>
      </c>
      <c r="I56" s="153">
        <f t="shared" si="6"/>
        <v>74555.11984662246</v>
      </c>
      <c r="J56" s="153">
        <f t="shared" si="2"/>
        <v>47269.812276141951</v>
      </c>
      <c r="K56" s="153">
        <f t="shared" si="3"/>
        <v>27285.307570480509</v>
      </c>
      <c r="M56" s="153">
        <f t="shared" si="4"/>
        <v>4510616.6709391465</v>
      </c>
    </row>
    <row r="57" spans="3:13">
      <c r="E57" s="2">
        <v>25</v>
      </c>
      <c r="F57" s="153">
        <f t="shared" si="5"/>
        <v>4510616.6709391465</v>
      </c>
      <c r="H57" s="153">
        <f t="shared" si="0"/>
        <v>4510616.6709391465</v>
      </c>
      <c r="I57" s="153">
        <f t="shared" si="6"/>
        <v>74555.11984662246</v>
      </c>
      <c r="J57" s="153">
        <f t="shared" si="2"/>
        <v>46985.590322282776</v>
      </c>
      <c r="K57" s="153">
        <f t="shared" si="3"/>
        <v>27569.529524339683</v>
      </c>
      <c r="M57" s="153">
        <f t="shared" si="4"/>
        <v>4483047.1414148072</v>
      </c>
    </row>
    <row r="58" spans="3:13">
      <c r="E58" s="2">
        <v>26</v>
      </c>
      <c r="F58" s="153">
        <f t="shared" si="5"/>
        <v>4483047.1414148072</v>
      </c>
      <c r="H58" s="153">
        <f t="shared" si="0"/>
        <v>4483047.1414148072</v>
      </c>
      <c r="I58" s="153">
        <f t="shared" si="6"/>
        <v>74555.11984662246</v>
      </c>
      <c r="J58" s="153">
        <f t="shared" si="2"/>
        <v>46698.407723070908</v>
      </c>
      <c r="K58" s="153">
        <f t="shared" si="3"/>
        <v>27856.712123551551</v>
      </c>
      <c r="M58" s="153">
        <f t="shared" si="4"/>
        <v>4455190.4292912558</v>
      </c>
    </row>
    <row r="59" spans="3:13">
      <c r="E59" s="2">
        <v>27</v>
      </c>
      <c r="F59" s="153">
        <f t="shared" si="5"/>
        <v>4455190.4292912558</v>
      </c>
      <c r="H59" s="153">
        <f t="shared" si="0"/>
        <v>4455190.4292912558</v>
      </c>
      <c r="I59" s="153">
        <f t="shared" si="6"/>
        <v>74555.11984662246</v>
      </c>
      <c r="J59" s="153">
        <f t="shared" si="2"/>
        <v>46408.233638450576</v>
      </c>
      <c r="K59" s="153">
        <f t="shared" si="3"/>
        <v>28146.886208171883</v>
      </c>
      <c r="M59" s="153">
        <f t="shared" si="4"/>
        <v>4427043.5430830838</v>
      </c>
    </row>
    <row r="60" spans="3:13">
      <c r="E60" s="2">
        <v>28</v>
      </c>
      <c r="F60" s="153">
        <f t="shared" si="5"/>
        <v>4427043.5430830838</v>
      </c>
      <c r="H60" s="153">
        <f t="shared" si="0"/>
        <v>4427043.5430830838</v>
      </c>
      <c r="I60" s="153">
        <f t="shared" si="6"/>
        <v>74555.11984662246</v>
      </c>
      <c r="J60" s="153">
        <f t="shared" si="2"/>
        <v>46115.036907115456</v>
      </c>
      <c r="K60" s="153">
        <f t="shared" si="3"/>
        <v>28440.082939507003</v>
      </c>
      <c r="M60" s="153">
        <f t="shared" si="4"/>
        <v>4398603.4601435764</v>
      </c>
    </row>
    <row r="61" spans="3:13">
      <c r="E61" s="2">
        <v>29</v>
      </c>
      <c r="F61" s="153">
        <f t="shared" si="5"/>
        <v>4398603.4601435764</v>
      </c>
      <c r="H61" s="153">
        <f t="shared" si="0"/>
        <v>4398603.4601435764</v>
      </c>
      <c r="I61" s="153">
        <f t="shared" si="6"/>
        <v>74555.11984662246</v>
      </c>
      <c r="J61" s="153">
        <f t="shared" si="2"/>
        <v>45818.786043162254</v>
      </c>
      <c r="K61" s="153">
        <f t="shared" si="3"/>
        <v>28736.333803460206</v>
      </c>
      <c r="M61" s="153">
        <f t="shared" si="4"/>
        <v>4369867.1263401164</v>
      </c>
    </row>
    <row r="62" spans="3:13">
      <c r="E62" s="2">
        <v>30</v>
      </c>
      <c r="F62" s="153">
        <f t="shared" si="5"/>
        <v>4369867.1263401164</v>
      </c>
      <c r="H62" s="153">
        <f t="shared" si="0"/>
        <v>4369867.1263401164</v>
      </c>
      <c r="I62" s="153">
        <f t="shared" si="6"/>
        <v>74555.11984662246</v>
      </c>
      <c r="J62" s="153">
        <f t="shared" si="2"/>
        <v>45519.449232709543</v>
      </c>
      <c r="K62" s="153">
        <f t="shared" si="3"/>
        <v>29035.670613912916</v>
      </c>
      <c r="M62" s="153">
        <f t="shared" si="4"/>
        <v>4340831.4557262035</v>
      </c>
    </row>
    <row r="63" spans="3:13">
      <c r="E63" s="2">
        <v>31</v>
      </c>
      <c r="F63" s="153">
        <f t="shared" si="5"/>
        <v>4340831.4557262035</v>
      </c>
      <c r="H63" s="153">
        <f t="shared" si="0"/>
        <v>4340831.4557262035</v>
      </c>
      <c r="I63" s="153">
        <f t="shared" si="6"/>
        <v>74555.11984662246</v>
      </c>
      <c r="J63" s="153">
        <f t="shared" si="2"/>
        <v>45216.994330481284</v>
      </c>
      <c r="K63" s="153">
        <f t="shared" si="3"/>
        <v>29338.125516141175</v>
      </c>
      <c r="M63" s="153">
        <f t="shared" si="4"/>
        <v>4311493.3302100627</v>
      </c>
    </row>
    <row r="64" spans="3:13">
      <c r="E64" s="2">
        <v>32</v>
      </c>
      <c r="F64" s="153">
        <f t="shared" si="5"/>
        <v>4311493.3302100627</v>
      </c>
      <c r="H64" s="153">
        <f t="shared" si="0"/>
        <v>4311493.3302100627</v>
      </c>
      <c r="I64" s="153">
        <f t="shared" si="6"/>
        <v>74555.11984662246</v>
      </c>
      <c r="J64" s="153">
        <f t="shared" si="2"/>
        <v>44911.388856354817</v>
      </c>
      <c r="K64" s="153">
        <f t="shared" si="3"/>
        <v>29643.730990267642</v>
      </c>
      <c r="M64" s="153">
        <f t="shared" si="4"/>
        <v>4281849.5992197953</v>
      </c>
    </row>
    <row r="65" spans="5:13">
      <c r="E65" s="2">
        <v>33</v>
      </c>
      <c r="F65" s="153">
        <f t="shared" si="5"/>
        <v>4281849.5992197953</v>
      </c>
      <c r="H65" s="153">
        <f t="shared" si="0"/>
        <v>4281849.5992197953</v>
      </c>
      <c r="I65" s="153">
        <f t="shared" si="6"/>
        <v>74555.11984662246</v>
      </c>
      <c r="J65" s="153">
        <f t="shared" si="2"/>
        <v>44602.599991872863</v>
      </c>
      <c r="K65" s="153">
        <f t="shared" si="3"/>
        <v>29952.519854749597</v>
      </c>
      <c r="M65" s="153">
        <f t="shared" si="4"/>
        <v>4251897.0793650458</v>
      </c>
    </row>
    <row r="66" spans="5:13">
      <c r="E66" s="2">
        <v>34</v>
      </c>
      <c r="F66" s="153">
        <f t="shared" si="5"/>
        <v>4251897.0793650458</v>
      </c>
      <c r="H66" s="153">
        <f t="shared" si="0"/>
        <v>4251897.0793650458</v>
      </c>
      <c r="I66" s="153">
        <f t="shared" si="6"/>
        <v>74555.11984662246</v>
      </c>
      <c r="J66" s="153">
        <f t="shared" si="2"/>
        <v>44290.594576719224</v>
      </c>
      <c r="K66" s="153">
        <f t="shared" si="3"/>
        <v>30264.525269903235</v>
      </c>
      <c r="M66" s="153">
        <f t="shared" si="4"/>
        <v>4221632.5540951425</v>
      </c>
    </row>
    <row r="67" spans="5:13">
      <c r="E67" s="2">
        <v>35</v>
      </c>
      <c r="F67" s="153">
        <f t="shared" si="5"/>
        <v>4221632.5540951425</v>
      </c>
      <c r="H67" s="153">
        <f t="shared" si="0"/>
        <v>4221632.5540951425</v>
      </c>
      <c r="I67" s="153">
        <f t="shared" si="6"/>
        <v>74555.11984662246</v>
      </c>
      <c r="J67" s="153">
        <f t="shared" si="2"/>
        <v>43975.339105157735</v>
      </c>
      <c r="K67" s="153">
        <f t="shared" si="3"/>
        <v>30579.780741464725</v>
      </c>
      <c r="M67" s="153">
        <f t="shared" si="4"/>
        <v>4191052.7733536777</v>
      </c>
    </row>
    <row r="68" spans="5:13">
      <c r="E68" s="2">
        <v>36</v>
      </c>
      <c r="F68" s="153">
        <f t="shared" si="5"/>
        <v>4191052.7733536777</v>
      </c>
      <c r="H68" s="153">
        <f t="shared" si="0"/>
        <v>4191052.7733536777</v>
      </c>
      <c r="I68" s="153">
        <f t="shared" si="6"/>
        <v>74555.11984662246</v>
      </c>
      <c r="J68" s="153">
        <f t="shared" si="2"/>
        <v>43656.799722434138</v>
      </c>
      <c r="K68" s="153">
        <f t="shared" si="3"/>
        <v>30898.320124188322</v>
      </c>
      <c r="M68" s="153">
        <f t="shared" si="4"/>
        <v>4160154.4532294893</v>
      </c>
    </row>
    <row r="69" spans="5:13">
      <c r="E69" s="2">
        <v>37</v>
      </c>
      <c r="F69" s="153">
        <f t="shared" si="5"/>
        <v>4160154.4532294893</v>
      </c>
      <c r="H69" s="153">
        <f t="shared" si="0"/>
        <v>4160154.4532294893</v>
      </c>
      <c r="I69" s="153">
        <f t="shared" si="6"/>
        <v>74555.11984662246</v>
      </c>
      <c r="J69" s="153">
        <f t="shared" si="2"/>
        <v>43334.942221140511</v>
      </c>
      <c r="K69" s="153">
        <f t="shared" si="3"/>
        <v>31220.177625481949</v>
      </c>
      <c r="M69" s="153">
        <f t="shared" si="4"/>
        <v>4128934.2756040073</v>
      </c>
    </row>
    <row r="70" spans="5:13">
      <c r="E70" s="2">
        <v>38</v>
      </c>
      <c r="F70" s="153">
        <f t="shared" si="5"/>
        <v>4128934.2756040073</v>
      </c>
      <c r="H70" s="153">
        <f t="shared" si="0"/>
        <v>4128934.2756040073</v>
      </c>
      <c r="I70" s="153">
        <f t="shared" si="6"/>
        <v>74555.11984662246</v>
      </c>
      <c r="J70" s="153">
        <f t="shared" si="2"/>
        <v>43009.73203754174</v>
      </c>
      <c r="K70" s="153">
        <f t="shared" si="3"/>
        <v>31545.387809080719</v>
      </c>
      <c r="M70" s="153">
        <f t="shared" si="4"/>
        <v>4097388.8877949268</v>
      </c>
    </row>
    <row r="71" spans="5:13">
      <c r="E71" s="2">
        <v>39</v>
      </c>
      <c r="F71" s="153">
        <f t="shared" si="5"/>
        <v>4097388.8877949268</v>
      </c>
      <c r="H71" s="153">
        <f t="shared" si="0"/>
        <v>4097388.8877949268</v>
      </c>
      <c r="I71" s="153">
        <f t="shared" si="6"/>
        <v>74555.11984662246</v>
      </c>
      <c r="J71" s="153">
        <f t="shared" si="2"/>
        <v>42681.134247863818</v>
      </c>
      <c r="K71" s="153">
        <f t="shared" si="3"/>
        <v>31873.985598758642</v>
      </c>
      <c r="M71" s="153">
        <f t="shared" si="4"/>
        <v>4065514.902196168</v>
      </c>
    </row>
    <row r="72" spans="5:13">
      <c r="E72" s="2">
        <v>40</v>
      </c>
      <c r="F72" s="153">
        <f t="shared" si="5"/>
        <v>4065514.902196168</v>
      </c>
      <c r="H72" s="153">
        <f t="shared" si="0"/>
        <v>4065514.902196168</v>
      </c>
      <c r="I72" s="153">
        <f t="shared" si="6"/>
        <v>74555.11984662246</v>
      </c>
      <c r="J72" s="153">
        <f t="shared" si="2"/>
        <v>42349.113564543411</v>
      </c>
      <c r="K72" s="153">
        <f t="shared" si="3"/>
        <v>32206.006282079048</v>
      </c>
      <c r="M72" s="153">
        <f t="shared" si="4"/>
        <v>4033308.8959140889</v>
      </c>
    </row>
    <row r="73" spans="5:13">
      <c r="E73" s="2">
        <v>41</v>
      </c>
      <c r="F73" s="153">
        <f t="shared" si="5"/>
        <v>4033308.8959140889</v>
      </c>
      <c r="H73" s="153">
        <f t="shared" si="0"/>
        <v>4033308.8959140889</v>
      </c>
      <c r="I73" s="153">
        <f t="shared" si="6"/>
        <v>74555.11984662246</v>
      </c>
      <c r="J73" s="153">
        <f t="shared" si="2"/>
        <v>42013.634332438422</v>
      </c>
      <c r="K73" s="153">
        <f t="shared" si="3"/>
        <v>32541.485514184038</v>
      </c>
      <c r="M73" s="153">
        <f t="shared" si="4"/>
        <v>4000767.4103999049</v>
      </c>
    </row>
    <row r="74" spans="5:13">
      <c r="E74" s="2">
        <v>42</v>
      </c>
      <c r="F74" s="153">
        <f t="shared" si="5"/>
        <v>4000767.4103999049</v>
      </c>
      <c r="H74" s="153">
        <f t="shared" si="0"/>
        <v>4000767.4103999049</v>
      </c>
      <c r="I74" s="153">
        <f t="shared" si="6"/>
        <v>74555.11984662246</v>
      </c>
      <c r="J74" s="153">
        <f t="shared" si="2"/>
        <v>41674.66052499901</v>
      </c>
      <c r="K74" s="153">
        <f t="shared" si="3"/>
        <v>32880.45932162345</v>
      </c>
      <c r="M74" s="153">
        <f t="shared" si="4"/>
        <v>3967886.9510782813</v>
      </c>
    </row>
    <row r="75" spans="5:13">
      <c r="E75" s="2">
        <v>43</v>
      </c>
      <c r="F75" s="153">
        <f t="shared" si="5"/>
        <v>3967886.9510782813</v>
      </c>
      <c r="H75" s="153">
        <f t="shared" si="0"/>
        <v>3967886.9510782813</v>
      </c>
      <c r="I75" s="153">
        <f t="shared" si="6"/>
        <v>74555.11984662246</v>
      </c>
      <c r="J75" s="153">
        <f t="shared" si="2"/>
        <v>41332.155740398761</v>
      </c>
      <c r="K75" s="153">
        <f t="shared" si="3"/>
        <v>33222.964106223699</v>
      </c>
      <c r="M75" s="153">
        <f t="shared" si="4"/>
        <v>3934663.9869720577</v>
      </c>
    </row>
    <row r="76" spans="5:13">
      <c r="E76" s="2">
        <v>44</v>
      </c>
      <c r="F76" s="153">
        <f t="shared" si="5"/>
        <v>3934663.9869720577</v>
      </c>
      <c r="H76" s="153">
        <f t="shared" si="0"/>
        <v>3934663.9869720577</v>
      </c>
      <c r="I76" s="153">
        <f t="shared" si="6"/>
        <v>74555.11984662246</v>
      </c>
      <c r="J76" s="153">
        <f t="shared" si="2"/>
        <v>40986.083197625601</v>
      </c>
      <c r="K76" s="153">
        <f t="shared" si="3"/>
        <v>33569.036648996858</v>
      </c>
      <c r="M76" s="153">
        <f t="shared" si="4"/>
        <v>3901094.9503230611</v>
      </c>
    </row>
    <row r="77" spans="5:13">
      <c r="E77" s="2">
        <v>45</v>
      </c>
      <c r="F77" s="153">
        <f t="shared" si="5"/>
        <v>3901094.9503230611</v>
      </c>
      <c r="H77" s="153">
        <f t="shared" si="0"/>
        <v>3901094.9503230611</v>
      </c>
      <c r="I77" s="153">
        <f t="shared" si="6"/>
        <v>74555.11984662246</v>
      </c>
      <c r="J77" s="153">
        <f t="shared" si="2"/>
        <v>40636.405732531886</v>
      </c>
      <c r="K77" s="153">
        <f t="shared" si="3"/>
        <v>33918.714114090573</v>
      </c>
      <c r="M77" s="153">
        <f t="shared" si="4"/>
        <v>3867176.2362089707</v>
      </c>
    </row>
    <row r="78" spans="5:13">
      <c r="E78" s="2">
        <v>46</v>
      </c>
      <c r="F78" s="153">
        <f t="shared" si="5"/>
        <v>3867176.2362089707</v>
      </c>
      <c r="H78" s="153">
        <f t="shared" si="0"/>
        <v>3867176.2362089707</v>
      </c>
      <c r="I78" s="153">
        <f t="shared" si="6"/>
        <v>74555.11984662246</v>
      </c>
      <c r="J78" s="153">
        <f t="shared" si="2"/>
        <v>40283.085793843442</v>
      </c>
      <c r="K78" s="153">
        <f t="shared" si="3"/>
        <v>34272.034052779018</v>
      </c>
      <c r="M78" s="153">
        <f t="shared" si="4"/>
        <v>3832904.2021561917</v>
      </c>
    </row>
    <row r="79" spans="5:13">
      <c r="E79" s="2">
        <v>47</v>
      </c>
      <c r="F79" s="153">
        <f t="shared" si="5"/>
        <v>3832904.2021561917</v>
      </c>
      <c r="H79" s="153">
        <f t="shared" si="0"/>
        <v>3832904.2021561917</v>
      </c>
      <c r="I79" s="153">
        <f t="shared" si="6"/>
        <v>74555.11984662246</v>
      </c>
      <c r="J79" s="153">
        <f t="shared" si="2"/>
        <v>39926.085439126997</v>
      </c>
      <c r="K79" s="153">
        <f t="shared" si="3"/>
        <v>34629.034407495463</v>
      </c>
      <c r="M79" s="153">
        <f t="shared" si="4"/>
        <v>3798275.1677486962</v>
      </c>
    </row>
    <row r="80" spans="5:13" s="157" customFormat="1">
      <c r="E80" s="157">
        <v>48</v>
      </c>
      <c r="F80" s="158">
        <f t="shared" si="5"/>
        <v>3798275.1677486962</v>
      </c>
      <c r="H80" s="158">
        <f t="shared" si="0"/>
        <v>3798275.1677486962</v>
      </c>
      <c r="I80" s="158">
        <f t="shared" si="6"/>
        <v>74555.11984662246</v>
      </c>
      <c r="J80" s="158">
        <f t="shared" si="2"/>
        <v>39565.36633071558</v>
      </c>
      <c r="K80" s="158">
        <f t="shared" si="3"/>
        <v>34989.753515906879</v>
      </c>
      <c r="L80" s="158"/>
      <c r="M80" s="158">
        <f t="shared" si="4"/>
        <v>3763285.4142327891</v>
      </c>
    </row>
    <row r="81" spans="3:13">
      <c r="E81" s="2">
        <v>49</v>
      </c>
      <c r="F81" s="153">
        <f t="shared" si="5"/>
        <v>3763285.4142327891</v>
      </c>
      <c r="H81" s="153">
        <f t="shared" si="0"/>
        <v>3763285.4142327891</v>
      </c>
      <c r="I81" s="153">
        <f>-PMT(13.8%/12,60,$D$82,0,0)</f>
        <v>87175.353185002197</v>
      </c>
      <c r="J81" s="153">
        <f>(13.8%/12)*H81</f>
        <v>43277.78226367708</v>
      </c>
      <c r="K81" s="153">
        <f t="shared" si="3"/>
        <v>43897.570921325118</v>
      </c>
      <c r="M81" s="153">
        <f t="shared" si="4"/>
        <v>3719387.8433114639</v>
      </c>
    </row>
    <row r="82" spans="3:13">
      <c r="C82" s="2" t="s">
        <v>359</v>
      </c>
      <c r="D82" s="153">
        <f>H81</f>
        <v>3763285.4142327891</v>
      </c>
      <c r="E82" s="2">
        <v>50</v>
      </c>
      <c r="F82" s="153">
        <f t="shared" si="5"/>
        <v>3719387.8433114639</v>
      </c>
      <c r="H82" s="153">
        <f t="shared" si="0"/>
        <v>3719387.8433114639</v>
      </c>
      <c r="I82" s="153">
        <f t="shared" ref="I82:I102" si="7">-PMT(13.8%/12,60,$D$82,0,0)</f>
        <v>87175.353185002197</v>
      </c>
      <c r="J82" s="153">
        <f t="shared" ref="J82:J140" si="8">(13.8%/12)*H82</f>
        <v>42772.960198081841</v>
      </c>
      <c r="K82" s="153">
        <f t="shared" si="3"/>
        <v>44402.392986920357</v>
      </c>
      <c r="M82" s="153">
        <f t="shared" si="4"/>
        <v>3674985.4503245438</v>
      </c>
    </row>
    <row r="83" spans="3:13">
      <c r="C83" s="2" t="s">
        <v>355</v>
      </c>
      <c r="D83" s="155">
        <v>0.13800000000000001</v>
      </c>
      <c r="E83" s="2">
        <v>51</v>
      </c>
      <c r="F83" s="153">
        <f t="shared" si="5"/>
        <v>3674985.4503245438</v>
      </c>
      <c r="H83" s="153">
        <f t="shared" si="0"/>
        <v>3674985.4503245438</v>
      </c>
      <c r="I83" s="153">
        <f t="shared" si="7"/>
        <v>87175.353185002197</v>
      </c>
      <c r="J83" s="153">
        <f t="shared" si="8"/>
        <v>42262.332678732259</v>
      </c>
      <c r="K83" s="153">
        <f t="shared" si="3"/>
        <v>44913.020506269939</v>
      </c>
      <c r="M83" s="153">
        <f t="shared" si="4"/>
        <v>3630072.429818274</v>
      </c>
    </row>
    <row r="84" spans="3:13">
      <c r="C84" s="2" t="s">
        <v>408</v>
      </c>
      <c r="D84" s="2">
        <f>120-48-12</f>
        <v>60</v>
      </c>
      <c r="E84" s="2">
        <v>52</v>
      </c>
      <c r="F84" s="153">
        <f t="shared" si="5"/>
        <v>3630072.429818274</v>
      </c>
      <c r="H84" s="153">
        <f t="shared" si="0"/>
        <v>3630072.429818274</v>
      </c>
      <c r="I84" s="153">
        <f t="shared" si="7"/>
        <v>87175.353185002197</v>
      </c>
      <c r="J84" s="153">
        <f t="shared" si="8"/>
        <v>41745.832942910158</v>
      </c>
      <c r="K84" s="153">
        <f t="shared" si="3"/>
        <v>45429.52024209204</v>
      </c>
      <c r="M84" s="153">
        <f t="shared" si="4"/>
        <v>3584642.9095761818</v>
      </c>
    </row>
    <row r="85" spans="3:13">
      <c r="E85" s="2">
        <v>53</v>
      </c>
      <c r="F85" s="153">
        <f t="shared" si="5"/>
        <v>3584642.9095761818</v>
      </c>
      <c r="H85" s="153">
        <f t="shared" si="0"/>
        <v>3584642.9095761818</v>
      </c>
      <c r="I85" s="153">
        <f t="shared" si="7"/>
        <v>87175.353185002197</v>
      </c>
      <c r="J85" s="153">
        <f t="shared" si="8"/>
        <v>41223.393460126099</v>
      </c>
      <c r="K85" s="153">
        <f t="shared" si="3"/>
        <v>45951.959724876098</v>
      </c>
      <c r="M85" s="153">
        <f t="shared" si="4"/>
        <v>3538690.9498513057</v>
      </c>
    </row>
    <row r="86" spans="3:13">
      <c r="E86" s="2">
        <v>54</v>
      </c>
      <c r="F86" s="153">
        <f t="shared" si="5"/>
        <v>3538690.9498513057</v>
      </c>
      <c r="H86" s="153">
        <f t="shared" si="0"/>
        <v>3538690.9498513057</v>
      </c>
      <c r="I86" s="153">
        <f t="shared" si="7"/>
        <v>87175.353185002197</v>
      </c>
      <c r="J86" s="153">
        <f t="shared" si="8"/>
        <v>40694.945923290019</v>
      </c>
      <c r="K86" s="153">
        <f t="shared" si="3"/>
        <v>46480.407261712178</v>
      </c>
      <c r="M86" s="153">
        <f t="shared" si="4"/>
        <v>3492210.5425895937</v>
      </c>
    </row>
    <row r="87" spans="3:13">
      <c r="E87" s="2">
        <v>55</v>
      </c>
      <c r="F87" s="153">
        <f t="shared" si="5"/>
        <v>3492210.5425895937</v>
      </c>
      <c r="H87" s="153">
        <f t="shared" si="0"/>
        <v>3492210.5425895937</v>
      </c>
      <c r="I87" s="153">
        <f t="shared" si="7"/>
        <v>87175.353185002197</v>
      </c>
      <c r="J87" s="153">
        <f t="shared" si="8"/>
        <v>40160.421239780335</v>
      </c>
      <c r="K87" s="153">
        <f t="shared" si="3"/>
        <v>47014.931945221862</v>
      </c>
      <c r="M87" s="153">
        <f t="shared" si="4"/>
        <v>3445195.6106443717</v>
      </c>
    </row>
    <row r="88" spans="3:13">
      <c r="E88" s="2">
        <v>56</v>
      </c>
      <c r="F88" s="153">
        <f t="shared" si="5"/>
        <v>3445195.6106443717</v>
      </c>
      <c r="H88" s="153">
        <f t="shared" si="0"/>
        <v>3445195.6106443717</v>
      </c>
      <c r="I88" s="153">
        <f t="shared" si="7"/>
        <v>87175.353185002197</v>
      </c>
      <c r="J88" s="153">
        <f t="shared" si="8"/>
        <v>39619.749522410282</v>
      </c>
      <c r="K88" s="153">
        <f t="shared" si="3"/>
        <v>47555.603662591915</v>
      </c>
      <c r="M88" s="153">
        <f t="shared" si="4"/>
        <v>3397640.0069817798</v>
      </c>
    </row>
    <row r="89" spans="3:13">
      <c r="E89" s="2">
        <v>57</v>
      </c>
      <c r="F89" s="153">
        <f t="shared" si="5"/>
        <v>3397640.0069817798</v>
      </c>
      <c r="H89" s="153">
        <f t="shared" si="0"/>
        <v>3397640.0069817798</v>
      </c>
      <c r="I89" s="153">
        <f t="shared" si="7"/>
        <v>87175.353185002197</v>
      </c>
      <c r="J89" s="153">
        <f t="shared" si="8"/>
        <v>39072.860080290477</v>
      </c>
      <c r="K89" s="153">
        <f t="shared" si="3"/>
        <v>48102.493104711721</v>
      </c>
      <c r="M89" s="153">
        <f t="shared" si="4"/>
        <v>3349537.5138770682</v>
      </c>
    </row>
    <row r="90" spans="3:13">
      <c r="E90" s="2">
        <v>58</v>
      </c>
      <c r="F90" s="153">
        <f t="shared" si="5"/>
        <v>3349537.5138770682</v>
      </c>
      <c r="H90" s="153">
        <f t="shared" si="0"/>
        <v>3349537.5138770682</v>
      </c>
      <c r="I90" s="153">
        <f t="shared" si="7"/>
        <v>87175.353185002197</v>
      </c>
      <c r="J90" s="153">
        <f t="shared" si="8"/>
        <v>38519.681409586286</v>
      </c>
      <c r="K90" s="153">
        <f t="shared" si="3"/>
        <v>48655.671775415911</v>
      </c>
      <c r="M90" s="153">
        <f t="shared" si="4"/>
        <v>3300881.8421016522</v>
      </c>
    </row>
    <row r="91" spans="3:13">
      <c r="E91" s="2">
        <v>59</v>
      </c>
      <c r="F91" s="153">
        <f t="shared" si="5"/>
        <v>3300881.8421016522</v>
      </c>
      <c r="H91" s="153">
        <f t="shared" si="0"/>
        <v>3300881.8421016522</v>
      </c>
      <c r="I91" s="153">
        <f t="shared" si="7"/>
        <v>87175.353185002197</v>
      </c>
      <c r="J91" s="153">
        <f t="shared" si="8"/>
        <v>37960.141184169006</v>
      </c>
      <c r="K91" s="153">
        <f t="shared" si="3"/>
        <v>49215.212000833191</v>
      </c>
      <c r="M91" s="153">
        <f t="shared" si="4"/>
        <v>3251666.6301008188</v>
      </c>
    </row>
    <row r="92" spans="3:13">
      <c r="E92" s="2">
        <v>60</v>
      </c>
      <c r="F92" s="153">
        <f t="shared" si="5"/>
        <v>3251666.6301008188</v>
      </c>
      <c r="H92" s="153">
        <f t="shared" si="0"/>
        <v>3251666.6301008188</v>
      </c>
      <c r="I92" s="153">
        <f t="shared" si="7"/>
        <v>87175.353185002197</v>
      </c>
      <c r="J92" s="153">
        <f t="shared" si="8"/>
        <v>37394.166246159424</v>
      </c>
      <c r="K92" s="153">
        <f t="shared" si="3"/>
        <v>49781.186938842773</v>
      </c>
      <c r="M92" s="153">
        <f t="shared" si="4"/>
        <v>3201885.4431619761</v>
      </c>
    </row>
    <row r="93" spans="3:13">
      <c r="E93" s="2">
        <v>61</v>
      </c>
      <c r="F93" s="153">
        <f t="shared" si="5"/>
        <v>3201885.4431619761</v>
      </c>
      <c r="H93" s="153">
        <f t="shared" si="0"/>
        <v>3201885.4431619761</v>
      </c>
      <c r="I93" s="153">
        <f t="shared" si="7"/>
        <v>87175.353185002197</v>
      </c>
      <c r="J93" s="153">
        <f t="shared" si="8"/>
        <v>36821.682596362727</v>
      </c>
      <c r="K93" s="153">
        <f t="shared" si="3"/>
        <v>50353.67058863947</v>
      </c>
      <c r="M93" s="153">
        <f t="shared" si="4"/>
        <v>3151531.7725733365</v>
      </c>
    </row>
    <row r="94" spans="3:13">
      <c r="E94" s="2">
        <v>62</v>
      </c>
      <c r="F94" s="153">
        <f t="shared" si="5"/>
        <v>3151531.7725733365</v>
      </c>
      <c r="H94" s="153">
        <f t="shared" si="0"/>
        <v>3151531.7725733365</v>
      </c>
      <c r="I94" s="153">
        <f t="shared" si="7"/>
        <v>87175.353185002197</v>
      </c>
      <c r="J94" s="153">
        <f t="shared" si="8"/>
        <v>36242.615384593373</v>
      </c>
      <c r="K94" s="153">
        <f t="shared" si="3"/>
        <v>50932.737800408824</v>
      </c>
      <c r="M94" s="153">
        <f t="shared" si="4"/>
        <v>3100599.0347729279</v>
      </c>
    </row>
    <row r="95" spans="3:13">
      <c r="E95" s="2">
        <v>63</v>
      </c>
      <c r="F95" s="153">
        <f t="shared" si="5"/>
        <v>3100599.0347729279</v>
      </c>
      <c r="H95" s="153">
        <f t="shared" si="0"/>
        <v>3100599.0347729279</v>
      </c>
      <c r="I95" s="153">
        <f t="shared" si="7"/>
        <v>87175.353185002197</v>
      </c>
      <c r="J95" s="153">
        <f t="shared" si="8"/>
        <v>35656.888899888676</v>
      </c>
      <c r="K95" s="153">
        <f t="shared" si="3"/>
        <v>51518.464285113521</v>
      </c>
      <c r="M95" s="153">
        <f t="shared" si="4"/>
        <v>3049080.5704878145</v>
      </c>
    </row>
    <row r="96" spans="3:13">
      <c r="E96" s="2">
        <v>64</v>
      </c>
      <c r="F96" s="153">
        <f t="shared" si="5"/>
        <v>3049080.5704878145</v>
      </c>
      <c r="H96" s="153">
        <f t="shared" si="0"/>
        <v>3049080.5704878145</v>
      </c>
      <c r="I96" s="153">
        <f t="shared" si="7"/>
        <v>87175.353185002197</v>
      </c>
      <c r="J96" s="153">
        <f t="shared" si="8"/>
        <v>35064.426560609871</v>
      </c>
      <c r="K96" s="153">
        <f t="shared" si="3"/>
        <v>52110.926624392327</v>
      </c>
      <c r="M96" s="153">
        <f t="shared" si="4"/>
        <v>2996969.6438634223</v>
      </c>
    </row>
    <row r="97" spans="3:13" s="159" customFormat="1">
      <c r="E97" s="159">
        <v>65</v>
      </c>
      <c r="F97" s="160">
        <f t="shared" si="5"/>
        <v>2996969.6438634223</v>
      </c>
      <c r="H97" s="160">
        <f t="shared" si="0"/>
        <v>2996969.6438634223</v>
      </c>
      <c r="I97" s="160">
        <f t="shared" si="7"/>
        <v>87175.353185002197</v>
      </c>
      <c r="J97" s="160">
        <f t="shared" si="8"/>
        <v>34465.150904429363</v>
      </c>
      <c r="K97" s="160">
        <f t="shared" si="3"/>
        <v>52710.202280572834</v>
      </c>
      <c r="L97" s="160">
        <v>18000</v>
      </c>
      <c r="M97" s="160">
        <f t="shared" si="4"/>
        <v>2926259.4415828497</v>
      </c>
    </row>
    <row r="98" spans="3:13">
      <c r="E98" s="2">
        <v>66</v>
      </c>
      <c r="F98" s="153">
        <f t="shared" si="5"/>
        <v>2926259.4415828497</v>
      </c>
      <c r="H98" s="153">
        <f t="shared" ref="H98:H140" si="9">F98+G98</f>
        <v>2926259.4415828497</v>
      </c>
      <c r="I98" s="153">
        <f t="shared" si="7"/>
        <v>87175.353185002197</v>
      </c>
      <c r="J98" s="153">
        <f t="shared" si="8"/>
        <v>33651.983578202773</v>
      </c>
      <c r="K98" s="153">
        <f t="shared" ref="K98:K140" si="10">I98-J98</f>
        <v>53523.369606799424</v>
      </c>
      <c r="L98" s="153">
        <v>18000</v>
      </c>
      <c r="M98" s="153">
        <f t="shared" ref="M98:M140" si="11">H98-K98-L98</f>
        <v>2854736.0719760503</v>
      </c>
    </row>
    <row r="99" spans="3:13">
      <c r="E99" s="2">
        <v>67</v>
      </c>
      <c r="F99" s="153">
        <f t="shared" ref="F99:F140" si="12">M98</f>
        <v>2854736.0719760503</v>
      </c>
      <c r="H99" s="153">
        <f t="shared" si="9"/>
        <v>2854736.0719760503</v>
      </c>
      <c r="I99" s="153">
        <f t="shared" si="7"/>
        <v>87175.353185002197</v>
      </c>
      <c r="J99" s="153">
        <f t="shared" si="8"/>
        <v>32829.46482772458</v>
      </c>
      <c r="K99" s="153">
        <f t="shared" si="10"/>
        <v>54345.888357277618</v>
      </c>
      <c r="L99" s="153">
        <v>18000</v>
      </c>
      <c r="M99" s="153">
        <f t="shared" si="11"/>
        <v>2782390.1836187728</v>
      </c>
    </row>
    <row r="100" spans="3:13">
      <c r="E100" s="2">
        <v>68</v>
      </c>
      <c r="F100" s="153">
        <f t="shared" si="12"/>
        <v>2782390.1836187728</v>
      </c>
      <c r="H100" s="153">
        <f t="shared" si="9"/>
        <v>2782390.1836187728</v>
      </c>
      <c r="I100" s="153">
        <f t="shared" si="7"/>
        <v>87175.353185002197</v>
      </c>
      <c r="J100" s="153">
        <f t="shared" si="8"/>
        <v>31997.48711161589</v>
      </c>
      <c r="K100" s="153">
        <f t="shared" si="10"/>
        <v>55177.866073386307</v>
      </c>
      <c r="L100" s="153">
        <v>18000</v>
      </c>
      <c r="M100" s="153">
        <f t="shared" si="11"/>
        <v>2709212.3175453865</v>
      </c>
    </row>
    <row r="101" spans="3:13">
      <c r="E101" s="2">
        <v>69</v>
      </c>
      <c r="F101" s="153">
        <f t="shared" si="12"/>
        <v>2709212.3175453865</v>
      </c>
      <c r="H101" s="153">
        <f t="shared" si="9"/>
        <v>2709212.3175453865</v>
      </c>
      <c r="I101" s="153">
        <f t="shared" si="7"/>
        <v>87175.353185002197</v>
      </c>
      <c r="J101" s="153">
        <f t="shared" si="8"/>
        <v>31155.941651771947</v>
      </c>
      <c r="K101" s="153">
        <f t="shared" si="10"/>
        <v>56019.411533230246</v>
      </c>
      <c r="L101" s="153">
        <v>18000</v>
      </c>
      <c r="M101" s="153">
        <f t="shared" si="11"/>
        <v>2635192.906012156</v>
      </c>
    </row>
    <row r="102" spans="3:13" s="159" customFormat="1">
      <c r="E102" s="159">
        <v>70</v>
      </c>
      <c r="F102" s="160">
        <f t="shared" si="12"/>
        <v>2635192.906012156</v>
      </c>
      <c r="H102" s="160">
        <f t="shared" si="9"/>
        <v>2635192.906012156</v>
      </c>
      <c r="I102" s="160">
        <f t="shared" si="7"/>
        <v>87175.353185002197</v>
      </c>
      <c r="J102" s="160">
        <f t="shared" si="8"/>
        <v>30304.718419139797</v>
      </c>
      <c r="K102" s="160">
        <f t="shared" si="10"/>
        <v>56870.6347658624</v>
      </c>
      <c r="L102" s="160">
        <v>18000</v>
      </c>
      <c r="M102" s="160">
        <f t="shared" si="11"/>
        <v>2560322.2712462936</v>
      </c>
    </row>
    <row r="103" spans="3:13">
      <c r="C103" s="2" t="s">
        <v>356</v>
      </c>
      <c r="D103" s="153">
        <f>H103</f>
        <v>3260322.2712462936</v>
      </c>
      <c r="E103" s="2">
        <v>71</v>
      </c>
      <c r="F103" s="153">
        <f t="shared" si="12"/>
        <v>2560322.2712462936</v>
      </c>
      <c r="G103" s="161">
        <v>700000</v>
      </c>
      <c r="H103" s="153">
        <f t="shared" si="9"/>
        <v>3260322.2712462936</v>
      </c>
      <c r="I103" s="153">
        <f>-PMT(13.8%/12,50,$D$103,0,0)</f>
        <v>86104.186423062929</v>
      </c>
      <c r="J103" s="153">
        <f>(13.8%/12)*H103</f>
        <v>37493.706119332383</v>
      </c>
      <c r="K103" s="153">
        <f t="shared" si="10"/>
        <v>48610.480303730546</v>
      </c>
      <c r="M103" s="153">
        <f t="shared" si="11"/>
        <v>3211711.7909425632</v>
      </c>
    </row>
    <row r="104" spans="3:13">
      <c r="C104" s="2" t="s">
        <v>355</v>
      </c>
      <c r="D104" s="155">
        <v>0.13800000000000001</v>
      </c>
      <c r="E104" s="2">
        <v>72</v>
      </c>
      <c r="F104" s="153">
        <f t="shared" si="12"/>
        <v>3211711.7909425632</v>
      </c>
      <c r="H104" s="153">
        <f t="shared" si="9"/>
        <v>3211711.7909425632</v>
      </c>
      <c r="I104" s="153">
        <f>-PMT(13.8%/12,50,$D$103,0,0)</f>
        <v>86104.186423062929</v>
      </c>
      <c r="J104" s="153">
        <f t="shared" si="8"/>
        <v>36934.685595839481</v>
      </c>
      <c r="K104" s="153">
        <f t="shared" si="10"/>
        <v>49169.500827223448</v>
      </c>
      <c r="M104" s="153">
        <f t="shared" si="11"/>
        <v>3162542.2901153397</v>
      </c>
    </row>
    <row r="105" spans="3:13">
      <c r="C105" s="2" t="s">
        <v>408</v>
      </c>
      <c r="D105" s="2">
        <v>50</v>
      </c>
      <c r="E105" s="2">
        <v>73</v>
      </c>
      <c r="F105" s="153">
        <f t="shared" si="12"/>
        <v>3162542.2901153397</v>
      </c>
      <c r="H105" s="153">
        <f t="shared" si="9"/>
        <v>3162542.2901153397</v>
      </c>
      <c r="I105" s="153">
        <f t="shared" ref="I105:I152" si="13">-PMT(13.8%/12,50,$D$103,0,0)</f>
        <v>86104.186423062929</v>
      </c>
      <c r="J105" s="153">
        <f t="shared" si="8"/>
        <v>36369.236336326408</v>
      </c>
      <c r="K105" s="153">
        <f t="shared" si="10"/>
        <v>49734.95008673652</v>
      </c>
      <c r="M105" s="153">
        <f t="shared" si="11"/>
        <v>3112807.3400286031</v>
      </c>
    </row>
    <row r="106" spans="3:13">
      <c r="E106" s="2">
        <v>74</v>
      </c>
      <c r="F106" s="153">
        <f t="shared" si="12"/>
        <v>3112807.3400286031</v>
      </c>
      <c r="H106" s="153">
        <f t="shared" si="9"/>
        <v>3112807.3400286031</v>
      </c>
      <c r="I106" s="153">
        <f t="shared" si="13"/>
        <v>86104.186423062929</v>
      </c>
      <c r="J106" s="153">
        <f t="shared" si="8"/>
        <v>35797.284410328939</v>
      </c>
      <c r="K106" s="153">
        <f t="shared" si="10"/>
        <v>50306.90201273399</v>
      </c>
      <c r="M106" s="153">
        <f t="shared" si="11"/>
        <v>3062500.4380158689</v>
      </c>
    </row>
    <row r="107" spans="3:13">
      <c r="E107" s="2">
        <v>75</v>
      </c>
      <c r="F107" s="153">
        <f t="shared" si="12"/>
        <v>3062500.4380158689</v>
      </c>
      <c r="H107" s="153">
        <f t="shared" si="9"/>
        <v>3062500.4380158689</v>
      </c>
      <c r="I107" s="153">
        <f t="shared" si="13"/>
        <v>86104.186423062929</v>
      </c>
      <c r="J107" s="153">
        <f t="shared" si="8"/>
        <v>35218.755037182498</v>
      </c>
      <c r="K107" s="153">
        <f t="shared" si="10"/>
        <v>50885.431385880431</v>
      </c>
      <c r="M107" s="153">
        <f t="shared" si="11"/>
        <v>3011615.0066299886</v>
      </c>
    </row>
    <row r="108" spans="3:13">
      <c r="E108" s="2">
        <v>76</v>
      </c>
      <c r="F108" s="153">
        <f t="shared" si="12"/>
        <v>3011615.0066299886</v>
      </c>
      <c r="H108" s="153">
        <f t="shared" si="9"/>
        <v>3011615.0066299886</v>
      </c>
      <c r="I108" s="153">
        <f t="shared" si="13"/>
        <v>86104.186423062929</v>
      </c>
      <c r="J108" s="153">
        <f t="shared" si="8"/>
        <v>34633.572576244871</v>
      </c>
      <c r="K108" s="153">
        <f t="shared" si="10"/>
        <v>51470.613846818058</v>
      </c>
      <c r="M108" s="153">
        <f t="shared" si="11"/>
        <v>2960144.3927831706</v>
      </c>
    </row>
    <row r="109" spans="3:13">
      <c r="E109" s="2">
        <v>77</v>
      </c>
      <c r="F109" s="153">
        <f t="shared" si="12"/>
        <v>2960144.3927831706</v>
      </c>
      <c r="H109" s="153">
        <f t="shared" si="9"/>
        <v>2960144.3927831706</v>
      </c>
      <c r="I109" s="153">
        <f t="shared" si="13"/>
        <v>86104.186423062929</v>
      </c>
      <c r="J109" s="153">
        <f t="shared" si="8"/>
        <v>34041.660517006465</v>
      </c>
      <c r="K109" s="153">
        <f t="shared" si="10"/>
        <v>52062.525906056464</v>
      </c>
      <c r="M109" s="153">
        <f t="shared" si="11"/>
        <v>2908081.8668771139</v>
      </c>
    </row>
    <row r="110" spans="3:13">
      <c r="E110" s="2">
        <v>78</v>
      </c>
      <c r="F110" s="153">
        <f t="shared" si="12"/>
        <v>2908081.8668771139</v>
      </c>
      <c r="H110" s="153">
        <f t="shared" si="9"/>
        <v>2908081.8668771139</v>
      </c>
      <c r="I110" s="153">
        <f t="shared" si="13"/>
        <v>86104.186423062929</v>
      </c>
      <c r="J110" s="153">
        <f t="shared" si="8"/>
        <v>33442.941469086814</v>
      </c>
      <c r="K110" s="153">
        <f t="shared" si="10"/>
        <v>52661.244953976115</v>
      </c>
      <c r="M110" s="153">
        <f t="shared" si="11"/>
        <v>2855420.6219231379</v>
      </c>
    </row>
    <row r="111" spans="3:13">
      <c r="E111" s="2">
        <v>79</v>
      </c>
      <c r="F111" s="153">
        <f t="shared" si="12"/>
        <v>2855420.6219231379</v>
      </c>
      <c r="H111" s="153">
        <f t="shared" si="9"/>
        <v>2855420.6219231379</v>
      </c>
      <c r="I111" s="153">
        <f t="shared" si="13"/>
        <v>86104.186423062929</v>
      </c>
      <c r="J111" s="153">
        <f t="shared" si="8"/>
        <v>32837.337152116088</v>
      </c>
      <c r="K111" s="153">
        <f t="shared" si="10"/>
        <v>53266.849270946841</v>
      </c>
      <c r="M111" s="153">
        <f t="shared" si="11"/>
        <v>2802153.7726521911</v>
      </c>
    </row>
    <row r="112" spans="3:13">
      <c r="E112" s="2">
        <v>80</v>
      </c>
      <c r="F112" s="153">
        <f t="shared" si="12"/>
        <v>2802153.7726521911</v>
      </c>
      <c r="H112" s="153">
        <f t="shared" si="9"/>
        <v>2802153.7726521911</v>
      </c>
      <c r="I112" s="153">
        <f t="shared" si="13"/>
        <v>86104.186423062929</v>
      </c>
      <c r="J112" s="153">
        <f t="shared" si="8"/>
        <v>32224.768385500203</v>
      </c>
      <c r="K112" s="153">
        <f t="shared" si="10"/>
        <v>53879.418037562726</v>
      </c>
      <c r="M112" s="153">
        <f t="shared" si="11"/>
        <v>2748274.3546146285</v>
      </c>
    </row>
    <row r="113" spans="5:13">
      <c r="E113" s="2">
        <v>81</v>
      </c>
      <c r="F113" s="153">
        <f t="shared" si="12"/>
        <v>2748274.3546146285</v>
      </c>
      <c r="H113" s="153">
        <f t="shared" si="9"/>
        <v>2748274.3546146285</v>
      </c>
      <c r="I113" s="153">
        <f t="shared" si="13"/>
        <v>86104.186423062929</v>
      </c>
      <c r="J113" s="153">
        <f t="shared" si="8"/>
        <v>31605.15507806823</v>
      </c>
      <c r="K113" s="153">
        <f t="shared" si="10"/>
        <v>54499.031344994699</v>
      </c>
      <c r="M113" s="153">
        <f t="shared" si="11"/>
        <v>2693775.3232696336</v>
      </c>
    </row>
    <row r="114" spans="5:13">
      <c r="E114" s="2">
        <v>82</v>
      </c>
      <c r="F114" s="153">
        <f t="shared" si="12"/>
        <v>2693775.3232696336</v>
      </c>
      <c r="H114" s="153">
        <f t="shared" si="9"/>
        <v>2693775.3232696336</v>
      </c>
      <c r="I114" s="153">
        <f t="shared" si="13"/>
        <v>86104.186423062929</v>
      </c>
      <c r="J114" s="153">
        <f t="shared" si="8"/>
        <v>30978.416217600789</v>
      </c>
      <c r="K114" s="153">
        <f t="shared" si="10"/>
        <v>55125.77020546214</v>
      </c>
      <c r="M114" s="153">
        <f t="shared" si="11"/>
        <v>2638649.5530641712</v>
      </c>
    </row>
    <row r="115" spans="5:13">
      <c r="E115" s="2">
        <v>83</v>
      </c>
      <c r="F115" s="153">
        <f t="shared" si="12"/>
        <v>2638649.5530641712</v>
      </c>
      <c r="H115" s="153">
        <f t="shared" si="9"/>
        <v>2638649.5530641712</v>
      </c>
      <c r="I115" s="153">
        <f t="shared" si="13"/>
        <v>86104.186423062929</v>
      </c>
      <c r="J115" s="153">
        <f t="shared" si="8"/>
        <v>30344.469860237972</v>
      </c>
      <c r="K115" s="153">
        <f t="shared" si="10"/>
        <v>55759.716562824957</v>
      </c>
      <c r="M115" s="153">
        <f t="shared" si="11"/>
        <v>2582889.8365013464</v>
      </c>
    </row>
    <row r="116" spans="5:13">
      <c r="E116" s="2">
        <v>84</v>
      </c>
      <c r="F116" s="153">
        <f t="shared" si="12"/>
        <v>2582889.8365013464</v>
      </c>
      <c r="H116" s="153">
        <f t="shared" si="9"/>
        <v>2582889.8365013464</v>
      </c>
      <c r="I116" s="153">
        <f t="shared" si="13"/>
        <v>86104.186423062929</v>
      </c>
      <c r="J116" s="153">
        <f t="shared" si="8"/>
        <v>29703.233119765489</v>
      </c>
      <c r="K116" s="153">
        <f t="shared" si="10"/>
        <v>56400.953303297443</v>
      </c>
      <c r="M116" s="153">
        <f t="shared" si="11"/>
        <v>2526488.8831980489</v>
      </c>
    </row>
    <row r="117" spans="5:13">
      <c r="E117" s="2">
        <v>85</v>
      </c>
      <c r="F117" s="153">
        <f t="shared" si="12"/>
        <v>2526488.8831980489</v>
      </c>
      <c r="H117" s="153">
        <f t="shared" si="9"/>
        <v>2526488.8831980489</v>
      </c>
      <c r="I117" s="153">
        <f t="shared" si="13"/>
        <v>86104.186423062929</v>
      </c>
      <c r="J117" s="153">
        <f t="shared" si="8"/>
        <v>29054.622156777565</v>
      </c>
      <c r="K117" s="153">
        <f t="shared" si="10"/>
        <v>57049.564266285364</v>
      </c>
      <c r="M117" s="153">
        <f t="shared" si="11"/>
        <v>2469439.3189317635</v>
      </c>
    </row>
    <row r="118" spans="5:13">
      <c r="E118" s="2">
        <v>86</v>
      </c>
      <c r="F118" s="153">
        <f t="shared" si="12"/>
        <v>2469439.3189317635</v>
      </c>
      <c r="H118" s="153">
        <f t="shared" si="9"/>
        <v>2469439.3189317635</v>
      </c>
      <c r="I118" s="153">
        <f t="shared" si="13"/>
        <v>86104.186423062929</v>
      </c>
      <c r="J118" s="153">
        <f t="shared" si="8"/>
        <v>28398.552167715283</v>
      </c>
      <c r="K118" s="153">
        <f t="shared" si="10"/>
        <v>57705.634255347642</v>
      </c>
      <c r="M118" s="153">
        <f t="shared" si="11"/>
        <v>2411733.6846764158</v>
      </c>
    </row>
    <row r="119" spans="5:13">
      <c r="E119" s="2">
        <v>87</v>
      </c>
      <c r="F119" s="153">
        <f t="shared" si="12"/>
        <v>2411733.6846764158</v>
      </c>
      <c r="H119" s="153">
        <f t="shared" si="9"/>
        <v>2411733.6846764158</v>
      </c>
      <c r="I119" s="153">
        <f t="shared" si="13"/>
        <v>86104.186423062929</v>
      </c>
      <c r="J119" s="153">
        <f t="shared" si="8"/>
        <v>27734.937373778786</v>
      </c>
      <c r="K119" s="153">
        <f t="shared" si="10"/>
        <v>58369.249049284146</v>
      </c>
      <c r="M119" s="153">
        <f t="shared" si="11"/>
        <v>2353364.4356271317</v>
      </c>
    </row>
    <row r="120" spans="5:13">
      <c r="E120" s="2">
        <v>88</v>
      </c>
      <c r="F120" s="153">
        <f t="shared" si="12"/>
        <v>2353364.4356271317</v>
      </c>
      <c r="H120" s="153">
        <f t="shared" si="9"/>
        <v>2353364.4356271317</v>
      </c>
      <c r="I120" s="153">
        <f t="shared" si="13"/>
        <v>86104.186423062929</v>
      </c>
      <c r="J120" s="153">
        <f t="shared" si="8"/>
        <v>27063.69100971202</v>
      </c>
      <c r="K120" s="153">
        <f t="shared" si="10"/>
        <v>59040.495413350909</v>
      </c>
      <c r="M120" s="153">
        <f t="shared" si="11"/>
        <v>2294323.9402137809</v>
      </c>
    </row>
    <row r="121" spans="5:13">
      <c r="E121" s="2">
        <v>89</v>
      </c>
      <c r="F121" s="153">
        <f t="shared" si="12"/>
        <v>2294323.9402137809</v>
      </c>
      <c r="H121" s="153">
        <f t="shared" si="9"/>
        <v>2294323.9402137809</v>
      </c>
      <c r="I121" s="153">
        <f t="shared" si="13"/>
        <v>86104.186423062929</v>
      </c>
      <c r="J121" s="153">
        <f t="shared" si="8"/>
        <v>26384.725312458482</v>
      </c>
      <c r="K121" s="153">
        <f t="shared" si="10"/>
        <v>59719.461110604447</v>
      </c>
      <c r="M121" s="153">
        <f t="shared" si="11"/>
        <v>2234604.4791031764</v>
      </c>
    </row>
    <row r="122" spans="5:13">
      <c r="E122" s="2">
        <v>90</v>
      </c>
      <c r="F122" s="153">
        <f t="shared" si="12"/>
        <v>2234604.4791031764</v>
      </c>
      <c r="H122" s="153">
        <f t="shared" si="9"/>
        <v>2234604.4791031764</v>
      </c>
      <c r="I122" s="153">
        <f t="shared" si="13"/>
        <v>86104.186423062929</v>
      </c>
      <c r="J122" s="153">
        <f t="shared" si="8"/>
        <v>25697.951509686533</v>
      </c>
      <c r="K122" s="153">
        <f t="shared" si="10"/>
        <v>60406.234913376393</v>
      </c>
      <c r="M122" s="153">
        <f t="shared" si="11"/>
        <v>2174198.2441897998</v>
      </c>
    </row>
    <row r="123" spans="5:13">
      <c r="E123" s="2">
        <v>91</v>
      </c>
      <c r="F123" s="153">
        <f t="shared" si="12"/>
        <v>2174198.2441897998</v>
      </c>
      <c r="H123" s="153">
        <f t="shared" si="9"/>
        <v>2174198.2441897998</v>
      </c>
      <c r="I123" s="153">
        <f t="shared" si="13"/>
        <v>86104.186423062929</v>
      </c>
      <c r="J123" s="153">
        <f t="shared" si="8"/>
        <v>25003.279808182702</v>
      </c>
      <c r="K123" s="153">
        <f t="shared" si="10"/>
        <v>61100.906614880223</v>
      </c>
      <c r="M123" s="153">
        <f t="shared" si="11"/>
        <v>2113097.3375749197</v>
      </c>
    </row>
    <row r="124" spans="5:13">
      <c r="E124" s="2">
        <v>92</v>
      </c>
      <c r="F124" s="153">
        <f t="shared" si="12"/>
        <v>2113097.3375749197</v>
      </c>
      <c r="H124" s="153">
        <f t="shared" si="9"/>
        <v>2113097.3375749197</v>
      </c>
      <c r="I124" s="153">
        <f t="shared" si="13"/>
        <v>86104.186423062929</v>
      </c>
      <c r="J124" s="153">
        <f t="shared" si="8"/>
        <v>24300.619382111581</v>
      </c>
      <c r="K124" s="153">
        <f t="shared" si="10"/>
        <v>61803.567040951348</v>
      </c>
      <c r="M124" s="153">
        <f t="shared" si="11"/>
        <v>2051293.7705339682</v>
      </c>
    </row>
    <row r="125" spans="5:13">
      <c r="E125" s="2">
        <v>93</v>
      </c>
      <c r="F125" s="153">
        <f t="shared" si="12"/>
        <v>2051293.7705339682</v>
      </c>
      <c r="H125" s="153">
        <f t="shared" si="9"/>
        <v>2051293.7705339682</v>
      </c>
      <c r="I125" s="153">
        <f t="shared" si="13"/>
        <v>86104.186423062929</v>
      </c>
      <c r="J125" s="153">
        <f t="shared" si="8"/>
        <v>23589.878361140636</v>
      </c>
      <c r="K125" s="153">
        <f t="shared" si="10"/>
        <v>62514.308061922289</v>
      </c>
      <c r="M125" s="153">
        <f t="shared" si="11"/>
        <v>1988779.462472046</v>
      </c>
    </row>
    <row r="126" spans="5:13">
      <c r="E126" s="2">
        <v>94</v>
      </c>
      <c r="F126" s="153">
        <f t="shared" si="12"/>
        <v>1988779.462472046</v>
      </c>
      <c r="H126" s="153">
        <f t="shared" si="9"/>
        <v>1988779.462472046</v>
      </c>
      <c r="I126" s="153">
        <f t="shared" si="13"/>
        <v>86104.186423062929</v>
      </c>
      <c r="J126" s="153">
        <f t="shared" si="8"/>
        <v>22870.963818428532</v>
      </c>
      <c r="K126" s="153">
        <f t="shared" si="10"/>
        <v>63233.2226046344</v>
      </c>
      <c r="M126" s="153">
        <f t="shared" si="11"/>
        <v>1925546.2398674116</v>
      </c>
    </row>
    <row r="127" spans="5:13">
      <c r="E127" s="2">
        <v>95</v>
      </c>
      <c r="F127" s="153">
        <f t="shared" si="12"/>
        <v>1925546.2398674116</v>
      </c>
      <c r="H127" s="153">
        <f t="shared" si="9"/>
        <v>1925546.2398674116</v>
      </c>
      <c r="I127" s="153">
        <f t="shared" si="13"/>
        <v>86104.186423062929</v>
      </c>
      <c r="J127" s="153">
        <f t="shared" si="8"/>
        <v>22143.781758475237</v>
      </c>
      <c r="K127" s="153">
        <f t="shared" si="10"/>
        <v>63960.404664587695</v>
      </c>
      <c r="M127" s="153">
        <f t="shared" si="11"/>
        <v>1861585.8352028239</v>
      </c>
    </row>
    <row r="128" spans="5:13">
      <c r="E128" s="2">
        <v>96</v>
      </c>
      <c r="F128" s="153">
        <f t="shared" si="12"/>
        <v>1861585.8352028239</v>
      </c>
      <c r="H128" s="153">
        <f t="shared" si="9"/>
        <v>1861585.8352028239</v>
      </c>
      <c r="I128" s="153">
        <f t="shared" si="13"/>
        <v>86104.186423062929</v>
      </c>
      <c r="J128" s="153">
        <f t="shared" si="8"/>
        <v>21408.237104832479</v>
      </c>
      <c r="K128" s="153">
        <f t="shared" si="10"/>
        <v>64695.94931823045</v>
      </c>
      <c r="M128" s="153">
        <f t="shared" si="11"/>
        <v>1796889.8858845935</v>
      </c>
    </row>
    <row r="129" spans="5:13">
      <c r="E129" s="2">
        <v>97</v>
      </c>
      <c r="F129" s="153">
        <f t="shared" si="12"/>
        <v>1796889.8858845935</v>
      </c>
      <c r="H129" s="153">
        <f t="shared" si="9"/>
        <v>1796889.8858845935</v>
      </c>
      <c r="I129" s="153">
        <f t="shared" si="13"/>
        <v>86104.186423062929</v>
      </c>
      <c r="J129" s="153">
        <f t="shared" si="8"/>
        <v>20664.233687672826</v>
      </c>
      <c r="K129" s="153">
        <f t="shared" si="10"/>
        <v>65439.952735390107</v>
      </c>
      <c r="M129" s="153">
        <f t="shared" si="11"/>
        <v>1731449.9331492034</v>
      </c>
    </row>
    <row r="130" spans="5:13">
      <c r="E130" s="2">
        <v>98</v>
      </c>
      <c r="F130" s="153">
        <f t="shared" si="12"/>
        <v>1731449.9331492034</v>
      </c>
      <c r="H130" s="153">
        <f t="shared" si="9"/>
        <v>1731449.9331492034</v>
      </c>
      <c r="I130" s="153">
        <f t="shared" si="13"/>
        <v>86104.186423062929</v>
      </c>
      <c r="J130" s="153">
        <f t="shared" si="8"/>
        <v>19911.674231215842</v>
      </c>
      <c r="K130" s="153">
        <f t="shared" si="10"/>
        <v>66192.512191847083</v>
      </c>
      <c r="M130" s="153">
        <f t="shared" si="11"/>
        <v>1665257.4209573562</v>
      </c>
    </row>
    <row r="131" spans="5:13">
      <c r="E131" s="2">
        <v>99</v>
      </c>
      <c r="F131" s="153">
        <f t="shared" si="12"/>
        <v>1665257.4209573562</v>
      </c>
      <c r="H131" s="153">
        <f t="shared" si="9"/>
        <v>1665257.4209573562</v>
      </c>
      <c r="I131" s="153">
        <f t="shared" si="13"/>
        <v>86104.186423062929</v>
      </c>
      <c r="J131" s="153">
        <f t="shared" si="8"/>
        <v>19150.460341009599</v>
      </c>
      <c r="K131" s="153">
        <f t="shared" si="10"/>
        <v>66953.726082053327</v>
      </c>
      <c r="M131" s="153">
        <f t="shared" si="11"/>
        <v>1598303.694875303</v>
      </c>
    </row>
    <row r="132" spans="5:13">
      <c r="E132" s="2">
        <v>100</v>
      </c>
      <c r="F132" s="153">
        <f t="shared" si="12"/>
        <v>1598303.694875303</v>
      </c>
      <c r="H132" s="153">
        <f t="shared" si="9"/>
        <v>1598303.694875303</v>
      </c>
      <c r="I132" s="153">
        <f t="shared" si="13"/>
        <v>86104.186423062929</v>
      </c>
      <c r="J132" s="153">
        <f t="shared" si="8"/>
        <v>18380.492491065987</v>
      </c>
      <c r="K132" s="153">
        <f t="shared" si="10"/>
        <v>67723.693931996939</v>
      </c>
      <c r="M132" s="153">
        <f t="shared" si="11"/>
        <v>1530580.0009433059</v>
      </c>
    </row>
    <row r="133" spans="5:13">
      <c r="E133" s="2">
        <v>101</v>
      </c>
      <c r="F133" s="153">
        <f t="shared" si="12"/>
        <v>1530580.0009433059</v>
      </c>
      <c r="H133" s="153">
        <f t="shared" si="9"/>
        <v>1530580.0009433059</v>
      </c>
      <c r="I133" s="153">
        <f t="shared" si="13"/>
        <v>86104.186423062929</v>
      </c>
      <c r="J133" s="153">
        <f t="shared" si="8"/>
        <v>17601.670010848022</v>
      </c>
      <c r="K133" s="153">
        <f t="shared" si="10"/>
        <v>68502.5164122149</v>
      </c>
      <c r="M133" s="153">
        <f t="shared" si="11"/>
        <v>1462077.4845310911</v>
      </c>
    </row>
    <row r="134" spans="5:13">
      <c r="E134" s="2">
        <v>102</v>
      </c>
      <c r="F134" s="153">
        <f t="shared" si="12"/>
        <v>1462077.4845310911</v>
      </c>
      <c r="H134" s="153">
        <f t="shared" si="9"/>
        <v>1462077.4845310911</v>
      </c>
      <c r="I134" s="153">
        <f t="shared" si="13"/>
        <v>86104.186423062929</v>
      </c>
      <c r="J134" s="153">
        <f t="shared" si="8"/>
        <v>16813.891072107548</v>
      </c>
      <c r="K134" s="153">
        <f t="shared" si="10"/>
        <v>69290.295350955377</v>
      </c>
      <c r="M134" s="153">
        <f t="shared" si="11"/>
        <v>1392787.1891801357</v>
      </c>
    </row>
    <row r="135" spans="5:13">
      <c r="E135" s="2">
        <v>103</v>
      </c>
      <c r="F135" s="153">
        <f t="shared" si="12"/>
        <v>1392787.1891801357</v>
      </c>
      <c r="H135" s="153">
        <f t="shared" si="9"/>
        <v>1392787.1891801357</v>
      </c>
      <c r="I135" s="153">
        <f t="shared" si="13"/>
        <v>86104.186423062929</v>
      </c>
      <c r="J135" s="153">
        <f t="shared" si="8"/>
        <v>16017.052675571564</v>
      </c>
      <c r="K135" s="153">
        <f t="shared" si="10"/>
        <v>70087.13374749136</v>
      </c>
      <c r="M135" s="153">
        <f t="shared" si="11"/>
        <v>1322700.0554326444</v>
      </c>
    </row>
    <row r="136" spans="5:13">
      <c r="E136" s="2">
        <v>104</v>
      </c>
      <c r="F136" s="153">
        <f t="shared" si="12"/>
        <v>1322700.0554326444</v>
      </c>
      <c r="H136" s="153">
        <f t="shared" si="9"/>
        <v>1322700.0554326444</v>
      </c>
      <c r="I136" s="153">
        <f t="shared" si="13"/>
        <v>86104.186423062929</v>
      </c>
      <c r="J136" s="153">
        <f t="shared" si="8"/>
        <v>15211.050637475413</v>
      </c>
      <c r="K136" s="153">
        <f t="shared" si="10"/>
        <v>70893.13578558751</v>
      </c>
      <c r="M136" s="153">
        <f t="shared" si="11"/>
        <v>1251806.9196470568</v>
      </c>
    </row>
    <row r="137" spans="5:13">
      <c r="E137" s="2">
        <v>105</v>
      </c>
      <c r="F137" s="153">
        <f t="shared" si="12"/>
        <v>1251806.9196470568</v>
      </c>
      <c r="H137" s="153">
        <f t="shared" si="9"/>
        <v>1251806.9196470568</v>
      </c>
      <c r="I137" s="153">
        <f t="shared" si="13"/>
        <v>86104.186423062929</v>
      </c>
      <c r="J137" s="153">
        <f t="shared" si="8"/>
        <v>14395.779575941157</v>
      </c>
      <c r="K137" s="153">
        <f t="shared" si="10"/>
        <v>71708.406847121776</v>
      </c>
      <c r="M137" s="153">
        <f t="shared" si="11"/>
        <v>1180098.5127999349</v>
      </c>
    </row>
    <row r="138" spans="5:13">
      <c r="E138" s="2">
        <v>106</v>
      </c>
      <c r="F138" s="153">
        <f t="shared" si="12"/>
        <v>1180098.5127999349</v>
      </c>
      <c r="H138" s="153">
        <f t="shared" si="9"/>
        <v>1180098.5127999349</v>
      </c>
      <c r="I138" s="153">
        <f t="shared" si="13"/>
        <v>86104.186423062929</v>
      </c>
      <c r="J138" s="153">
        <f t="shared" si="8"/>
        <v>13571.132897199253</v>
      </c>
      <c r="K138" s="153">
        <f t="shared" si="10"/>
        <v>72533.053525863681</v>
      </c>
      <c r="M138" s="153">
        <f t="shared" si="11"/>
        <v>1107565.4592740713</v>
      </c>
    </row>
    <row r="139" spans="5:13">
      <c r="E139" s="2">
        <v>107</v>
      </c>
      <c r="F139" s="153">
        <f t="shared" si="12"/>
        <v>1107565.4592740713</v>
      </c>
      <c r="H139" s="153">
        <f t="shared" si="9"/>
        <v>1107565.4592740713</v>
      </c>
      <c r="I139" s="153">
        <f t="shared" si="13"/>
        <v>86104.186423062929</v>
      </c>
      <c r="J139" s="153">
        <f t="shared" si="8"/>
        <v>12737.002781651821</v>
      </c>
      <c r="K139" s="153">
        <f t="shared" si="10"/>
        <v>73367.183641411102</v>
      </c>
      <c r="M139" s="153">
        <f t="shared" si="11"/>
        <v>1034198.2756326601</v>
      </c>
    </row>
    <row r="140" spans="5:13" s="159" customFormat="1">
      <c r="E140" s="159">
        <v>108</v>
      </c>
      <c r="F140" s="160">
        <f t="shared" si="12"/>
        <v>1034198.2756326601</v>
      </c>
      <c r="H140" s="160">
        <f t="shared" si="9"/>
        <v>1034198.2756326601</v>
      </c>
      <c r="I140" s="153">
        <f t="shared" si="13"/>
        <v>86104.186423062929</v>
      </c>
      <c r="J140" s="153">
        <f t="shared" si="8"/>
        <v>11893.280169775593</v>
      </c>
      <c r="K140" s="160">
        <f t="shared" si="10"/>
        <v>74210.906253287336</v>
      </c>
      <c r="L140" s="160"/>
      <c r="M140" s="160">
        <f t="shared" si="11"/>
        <v>959987.3693793728</v>
      </c>
    </row>
    <row r="141" spans="5:13">
      <c r="E141" s="2">
        <v>109</v>
      </c>
      <c r="F141" s="162">
        <f t="shared" ref="F141:F152" si="14">M140</f>
        <v>959987.3693793728</v>
      </c>
      <c r="G141" s="163"/>
      <c r="H141" s="162">
        <f t="shared" ref="H141:H152" si="15">F141+G141</f>
        <v>959987.3693793728</v>
      </c>
      <c r="I141" s="162">
        <f t="shared" si="13"/>
        <v>86104.186423062929</v>
      </c>
      <c r="J141" s="162">
        <f t="shared" ref="J141:J152" si="16">(13.8%/12)*H141</f>
        <v>11039.854747862788</v>
      </c>
      <c r="K141" s="162">
        <f t="shared" ref="K141:K152" si="17">I141-J141</f>
        <v>75064.331675200141</v>
      </c>
      <c r="L141" s="162"/>
      <c r="M141" s="162">
        <f t="shared" ref="M141:M152" si="18">H141-K141-L141</f>
        <v>884923.03770417266</v>
      </c>
    </row>
    <row r="142" spans="5:13">
      <c r="E142" s="2">
        <v>110</v>
      </c>
      <c r="F142" s="162">
        <f t="shared" si="14"/>
        <v>884923.03770417266</v>
      </c>
      <c r="G142" s="163"/>
      <c r="H142" s="162">
        <f t="shared" si="15"/>
        <v>884923.03770417266</v>
      </c>
      <c r="I142" s="162">
        <f t="shared" si="13"/>
        <v>86104.186423062929</v>
      </c>
      <c r="J142" s="162">
        <f t="shared" si="16"/>
        <v>10176.614933597986</v>
      </c>
      <c r="K142" s="162">
        <f t="shared" si="17"/>
        <v>75927.571489464943</v>
      </c>
      <c r="L142" s="162"/>
      <c r="M142" s="162">
        <f t="shared" si="18"/>
        <v>808995.4662147077</v>
      </c>
    </row>
    <row r="143" spans="5:13">
      <c r="E143" s="2">
        <v>111</v>
      </c>
      <c r="F143" s="162">
        <f t="shared" si="14"/>
        <v>808995.4662147077</v>
      </c>
      <c r="G143" s="163"/>
      <c r="H143" s="162">
        <f t="shared" si="15"/>
        <v>808995.4662147077</v>
      </c>
      <c r="I143" s="162">
        <f t="shared" si="13"/>
        <v>86104.186423062929</v>
      </c>
      <c r="J143" s="162">
        <f t="shared" si="16"/>
        <v>9303.4478614691398</v>
      </c>
      <c r="K143" s="162">
        <f t="shared" si="17"/>
        <v>76800.738561593782</v>
      </c>
      <c r="L143" s="162"/>
      <c r="M143" s="162">
        <f t="shared" si="18"/>
        <v>732194.72765311389</v>
      </c>
    </row>
    <row r="144" spans="5:13">
      <c r="E144" s="2">
        <v>112</v>
      </c>
      <c r="F144" s="162">
        <f t="shared" si="14"/>
        <v>732194.72765311389</v>
      </c>
      <c r="G144" s="163"/>
      <c r="H144" s="162">
        <f t="shared" si="15"/>
        <v>732194.72765311389</v>
      </c>
      <c r="I144" s="162">
        <f t="shared" si="13"/>
        <v>86104.186423062929</v>
      </c>
      <c r="J144" s="162">
        <f t="shared" si="16"/>
        <v>8420.2393680108107</v>
      </c>
      <c r="K144" s="162">
        <f t="shared" si="17"/>
        <v>77683.947055052122</v>
      </c>
      <c r="L144" s="162"/>
      <c r="M144" s="162">
        <f t="shared" si="18"/>
        <v>654510.78059806174</v>
      </c>
    </row>
    <row r="145" spans="5:13">
      <c r="E145" s="2">
        <v>113</v>
      </c>
      <c r="F145" s="162">
        <f t="shared" si="14"/>
        <v>654510.78059806174</v>
      </c>
      <c r="G145" s="163"/>
      <c r="H145" s="162">
        <f t="shared" si="15"/>
        <v>654510.78059806174</v>
      </c>
      <c r="I145" s="162">
        <f t="shared" si="13"/>
        <v>86104.186423062929</v>
      </c>
      <c r="J145" s="162">
        <f t="shared" si="16"/>
        <v>7526.8739768777114</v>
      </c>
      <c r="K145" s="162">
        <f t="shared" si="17"/>
        <v>78577.312446185213</v>
      </c>
      <c r="L145" s="162"/>
      <c r="M145" s="162">
        <f t="shared" si="18"/>
        <v>575933.46815187647</v>
      </c>
    </row>
    <row r="146" spans="5:13">
      <c r="E146" s="2">
        <v>114</v>
      </c>
      <c r="F146" s="162">
        <f t="shared" si="14"/>
        <v>575933.46815187647</v>
      </c>
      <c r="G146" s="163"/>
      <c r="H146" s="162">
        <f t="shared" si="15"/>
        <v>575933.46815187647</v>
      </c>
      <c r="I146" s="162">
        <f t="shared" si="13"/>
        <v>86104.186423062929</v>
      </c>
      <c r="J146" s="162">
        <f t="shared" si="16"/>
        <v>6623.2348837465806</v>
      </c>
      <c r="K146" s="162">
        <f t="shared" si="17"/>
        <v>79480.951539316346</v>
      </c>
      <c r="L146" s="162"/>
      <c r="M146" s="162">
        <f t="shared" si="18"/>
        <v>496452.51661256014</v>
      </c>
    </row>
    <row r="147" spans="5:13">
      <c r="E147" s="2">
        <v>115</v>
      </c>
      <c r="F147" s="162">
        <f t="shared" si="14"/>
        <v>496452.51661256014</v>
      </c>
      <c r="G147" s="163"/>
      <c r="H147" s="162">
        <f t="shared" si="15"/>
        <v>496452.51661256014</v>
      </c>
      <c r="I147" s="162">
        <f t="shared" si="13"/>
        <v>86104.186423062929</v>
      </c>
      <c r="J147" s="162">
        <f t="shared" si="16"/>
        <v>5709.2039410444422</v>
      </c>
      <c r="K147" s="162">
        <f t="shared" si="17"/>
        <v>80394.982482018488</v>
      </c>
      <c r="L147" s="162"/>
      <c r="M147" s="162">
        <f t="shared" si="18"/>
        <v>416057.53413054167</v>
      </c>
    </row>
    <row r="148" spans="5:13">
      <c r="E148" s="2">
        <v>116</v>
      </c>
      <c r="F148" s="162">
        <f t="shared" si="14"/>
        <v>416057.53413054167</v>
      </c>
      <c r="G148" s="163"/>
      <c r="H148" s="162">
        <f t="shared" si="15"/>
        <v>416057.53413054167</v>
      </c>
      <c r="I148" s="162">
        <f t="shared" si="13"/>
        <v>86104.186423062929</v>
      </c>
      <c r="J148" s="162">
        <f t="shared" si="16"/>
        <v>4784.6616425012298</v>
      </c>
      <c r="K148" s="162">
        <f t="shared" si="17"/>
        <v>81319.524780561696</v>
      </c>
      <c r="L148" s="162"/>
      <c r="M148" s="162">
        <f t="shared" si="18"/>
        <v>334738.00934997998</v>
      </c>
    </row>
    <row r="149" spans="5:13">
      <c r="E149" s="2">
        <v>117</v>
      </c>
      <c r="F149" s="162">
        <f t="shared" si="14"/>
        <v>334738.00934997998</v>
      </c>
      <c r="G149" s="163"/>
      <c r="H149" s="162">
        <f t="shared" si="15"/>
        <v>334738.00934997998</v>
      </c>
      <c r="I149" s="162">
        <f t="shared" si="13"/>
        <v>86104.186423062929</v>
      </c>
      <c r="J149" s="162">
        <f t="shared" si="16"/>
        <v>3849.4871075247702</v>
      </c>
      <c r="K149" s="162">
        <f t="shared" si="17"/>
        <v>82254.699315538164</v>
      </c>
      <c r="L149" s="162"/>
      <c r="M149" s="162">
        <f t="shared" si="18"/>
        <v>252483.31003444182</v>
      </c>
    </row>
    <row r="150" spans="5:13">
      <c r="E150" s="2">
        <v>118</v>
      </c>
      <c r="F150" s="162">
        <f t="shared" si="14"/>
        <v>252483.31003444182</v>
      </c>
      <c r="G150" s="163"/>
      <c r="H150" s="162">
        <f t="shared" si="15"/>
        <v>252483.31003444182</v>
      </c>
      <c r="I150" s="162">
        <f t="shared" si="13"/>
        <v>86104.186423062929</v>
      </c>
      <c r="J150" s="162">
        <f t="shared" si="16"/>
        <v>2903.5580653960815</v>
      </c>
      <c r="K150" s="162">
        <f t="shared" si="17"/>
        <v>83200.62835766685</v>
      </c>
      <c r="L150" s="162"/>
      <c r="M150" s="162">
        <f t="shared" si="18"/>
        <v>169282.68167677498</v>
      </c>
    </row>
    <row r="151" spans="5:13">
      <c r="E151" s="2">
        <v>119</v>
      </c>
      <c r="F151" s="162">
        <f t="shared" si="14"/>
        <v>169282.68167677498</v>
      </c>
      <c r="G151" s="163"/>
      <c r="H151" s="162">
        <f t="shared" si="15"/>
        <v>169282.68167677498</v>
      </c>
      <c r="I151" s="162">
        <f t="shared" si="13"/>
        <v>86104.186423062929</v>
      </c>
      <c r="J151" s="162">
        <f t="shared" si="16"/>
        <v>1946.7508392829125</v>
      </c>
      <c r="K151" s="162">
        <f t="shared" si="17"/>
        <v>84157.43558378001</v>
      </c>
      <c r="L151" s="162"/>
      <c r="M151" s="162">
        <f t="shared" si="18"/>
        <v>85125.246092994974</v>
      </c>
    </row>
    <row r="152" spans="5:13">
      <c r="E152" s="2">
        <v>120</v>
      </c>
      <c r="F152" s="162">
        <f t="shared" si="14"/>
        <v>85125.246092994974</v>
      </c>
      <c r="G152" s="163"/>
      <c r="H152" s="162">
        <f t="shared" si="15"/>
        <v>85125.246092994974</v>
      </c>
      <c r="I152" s="162">
        <f t="shared" si="13"/>
        <v>86104.186423062929</v>
      </c>
      <c r="J152" s="162">
        <f t="shared" si="16"/>
        <v>978.94033006944233</v>
      </c>
      <c r="K152" s="162">
        <f t="shared" si="17"/>
        <v>85125.24609299349</v>
      </c>
      <c r="L152" s="162"/>
      <c r="M152" s="162">
        <f t="shared" si="18"/>
        <v>1.4842953532934189E-9</v>
      </c>
    </row>
  </sheetData>
  <mergeCells count="1">
    <mergeCell ref="A1:G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E1A97-D002-45E3-93D6-2087E5C20524}">
  <dimension ref="A1:P24"/>
  <sheetViews>
    <sheetView workbookViewId="0">
      <selection activeCell="B6" sqref="B6:C7"/>
    </sheetView>
  </sheetViews>
  <sheetFormatPr defaultRowHeight="14.5"/>
  <sheetData>
    <row r="1" spans="1:16" ht="21">
      <c r="A1" s="14" t="s">
        <v>27</v>
      </c>
      <c r="B1" s="14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ht="20.5">
      <c r="A2" s="16" t="s">
        <v>28</v>
      </c>
      <c r="B2" s="16" t="s">
        <v>29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20.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ht="20.5">
      <c r="A4" s="16"/>
      <c r="B4" s="17" t="s">
        <v>30</v>
      </c>
      <c r="C4" s="16" t="s">
        <v>31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6" ht="20.5">
      <c r="A5" s="16"/>
      <c r="B5" s="17" t="s">
        <v>32</v>
      </c>
      <c r="C5" s="16" t="s">
        <v>33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ht="20.5">
      <c r="A6" s="16"/>
      <c r="B6" s="17" t="s">
        <v>34</v>
      </c>
      <c r="C6" s="16" t="s">
        <v>35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ht="20.5">
      <c r="A7" s="16"/>
      <c r="B7" s="17"/>
      <c r="C7" s="16" t="s">
        <v>36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</row>
    <row r="8" spans="1:16" ht="20.5">
      <c r="A8" s="16"/>
      <c r="B8" s="17" t="s">
        <v>37</v>
      </c>
      <c r="C8" s="16" t="s">
        <v>38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</row>
    <row r="9" spans="1:16" ht="20.5">
      <c r="A9" s="16"/>
      <c r="B9" s="17" t="s">
        <v>39</v>
      </c>
      <c r="C9" s="16" t="s">
        <v>40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</row>
    <row r="10" spans="1:16" ht="20.5">
      <c r="A10" s="16"/>
      <c r="B10" s="17"/>
      <c r="C10" s="16" t="s">
        <v>41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spans="1:16" ht="20.5">
      <c r="A11" s="16"/>
      <c r="B11" s="17" t="s">
        <v>42</v>
      </c>
      <c r="C11" s="16" t="s">
        <v>43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spans="1:16" ht="20.5">
      <c r="A12" s="16"/>
      <c r="B12" s="17" t="s">
        <v>44</v>
      </c>
      <c r="C12" s="16" t="s">
        <v>45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spans="1:16" ht="20.5">
      <c r="A13" s="16"/>
      <c r="B13" s="17" t="s">
        <v>46</v>
      </c>
      <c r="C13" s="16" t="s">
        <v>47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</row>
    <row r="14" spans="1:16" ht="20.5">
      <c r="A14" s="16"/>
      <c r="B14" s="17" t="s">
        <v>48</v>
      </c>
      <c r="C14" s="16" t="s">
        <v>49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</row>
    <row r="15" spans="1:16" ht="20.5">
      <c r="A15" s="16"/>
      <c r="B15" s="17"/>
      <c r="C15" s="16" t="s">
        <v>50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</row>
    <row r="16" spans="1:16" ht="20.5">
      <c r="A16" s="16"/>
      <c r="B16" s="17" t="s">
        <v>51</v>
      </c>
      <c r="C16" s="16" t="s">
        <v>52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</row>
    <row r="17" spans="1:16" ht="20.5">
      <c r="A17" s="16"/>
      <c r="B17" s="17" t="s">
        <v>53</v>
      </c>
      <c r="C17" s="16" t="s">
        <v>54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</row>
    <row r="18" spans="1:16" ht="20.5">
      <c r="A18" s="16"/>
      <c r="B18" s="16"/>
      <c r="C18" s="16" t="s">
        <v>55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</row>
    <row r="19" spans="1:16" ht="2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1:16" ht="21">
      <c r="A20" s="15"/>
      <c r="B20" s="18" t="s">
        <v>56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1:16" ht="21">
      <c r="A21" s="15"/>
      <c r="B21" s="16" t="s">
        <v>57</v>
      </c>
      <c r="C21" s="16" t="s">
        <v>58</v>
      </c>
      <c r="D21" s="19"/>
      <c r="E21" s="19"/>
      <c r="F21" s="19"/>
      <c r="G21" s="19"/>
      <c r="H21" s="19"/>
      <c r="I21" s="19"/>
      <c r="J21" s="16"/>
      <c r="K21" s="19"/>
      <c r="L21" s="19"/>
      <c r="M21" s="19"/>
      <c r="N21" s="15"/>
      <c r="O21" s="16" t="s">
        <v>59</v>
      </c>
      <c r="P21" s="16"/>
    </row>
    <row r="22" spans="1:16" ht="2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6"/>
      <c r="P22" s="16"/>
    </row>
    <row r="23" spans="1:16" ht="21">
      <c r="A23" s="15"/>
      <c r="B23" s="16" t="s">
        <v>60</v>
      </c>
      <c r="C23" s="16" t="s">
        <v>61</v>
      </c>
      <c r="D23" s="19"/>
      <c r="E23" s="19"/>
      <c r="F23" s="19"/>
      <c r="G23" s="19"/>
      <c r="H23" s="19"/>
      <c r="I23" s="19"/>
      <c r="J23" s="16"/>
      <c r="K23" s="19"/>
      <c r="L23" s="19"/>
      <c r="M23" s="15"/>
      <c r="N23" s="15"/>
      <c r="O23" s="16" t="s">
        <v>26</v>
      </c>
      <c r="P23" s="16"/>
    </row>
    <row r="24" spans="1:16" ht="2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6"/>
      <c r="P24" s="1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3A409-38ED-4128-9009-5B8831863E84}">
  <dimension ref="A1"/>
  <sheetViews>
    <sheetView workbookViewId="0">
      <selection activeCell="N18" sqref="N18"/>
    </sheetView>
  </sheetViews>
  <sheetFormatPr defaultRowHeight="14.5"/>
  <sheetData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70946-F222-48BF-90AC-722FAA6D1312}">
  <dimension ref="A3:Y79"/>
  <sheetViews>
    <sheetView topLeftCell="M16" workbookViewId="0">
      <selection activeCell="O5" sqref="O5:S5"/>
    </sheetView>
  </sheetViews>
  <sheetFormatPr defaultRowHeight="14.5"/>
  <cols>
    <col min="2" max="2" width="40.54296875" customWidth="1"/>
    <col min="3" max="3" width="11.81640625" customWidth="1"/>
    <col min="4" max="4" width="10.1796875" customWidth="1"/>
    <col min="5" max="5" width="11.1796875" customWidth="1"/>
    <col min="13" max="13" width="32.08984375" bestFit="1" customWidth="1"/>
    <col min="14" max="14" width="13.6328125" bestFit="1" customWidth="1"/>
    <col min="15" max="16" width="14.6328125" bestFit="1" customWidth="1"/>
    <col min="17" max="17" width="19.6328125" customWidth="1"/>
    <col min="18" max="19" width="14.6328125" bestFit="1" customWidth="1"/>
    <col min="20" max="20" width="12.81640625" customWidth="1"/>
    <col min="21" max="21" width="11.54296875" customWidth="1"/>
    <col min="22" max="22" width="11.7265625" customWidth="1"/>
    <col min="23" max="23" width="12.6328125" customWidth="1"/>
    <col min="24" max="24" width="14.26953125" customWidth="1"/>
    <col min="25" max="25" width="12.08984375" customWidth="1"/>
  </cols>
  <sheetData>
    <row r="3" spans="1:20" ht="15.5">
      <c r="A3" s="72" t="s">
        <v>27</v>
      </c>
      <c r="B3" s="1"/>
      <c r="C3" s="1"/>
      <c r="D3" s="1"/>
      <c r="E3" s="1"/>
      <c r="F3" s="1"/>
      <c r="G3" s="1"/>
      <c r="H3" s="1"/>
      <c r="I3" s="1"/>
      <c r="J3" s="1"/>
      <c r="K3" s="1"/>
      <c r="M3" t="s">
        <v>186</v>
      </c>
      <c r="N3" s="242">
        <v>0.3</v>
      </c>
    </row>
    <row r="4" spans="1:20" ht="15.5">
      <c r="A4" s="1" t="s">
        <v>257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20" ht="15.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20" ht="15.5">
      <c r="A6" s="1" t="s">
        <v>258</v>
      </c>
      <c r="B6" s="1"/>
      <c r="C6" s="1"/>
      <c r="D6" s="1"/>
      <c r="E6" s="2"/>
      <c r="F6" s="1"/>
      <c r="G6" s="1"/>
      <c r="H6" s="1"/>
      <c r="I6" s="1"/>
      <c r="J6" s="1"/>
      <c r="K6" s="1"/>
      <c r="M6" t="s">
        <v>376</v>
      </c>
      <c r="N6">
        <v>0</v>
      </c>
      <c r="O6">
        <v>1</v>
      </c>
      <c r="P6">
        <v>2</v>
      </c>
      <c r="Q6">
        <v>3</v>
      </c>
      <c r="R6">
        <v>4</v>
      </c>
      <c r="S6">
        <v>5</v>
      </c>
    </row>
    <row r="7" spans="1:20" ht="15.5">
      <c r="A7" s="1"/>
      <c r="B7" s="1"/>
      <c r="C7" s="1">
        <v>0</v>
      </c>
      <c r="D7" s="1">
        <v>1</v>
      </c>
      <c r="E7" s="2">
        <v>2</v>
      </c>
      <c r="F7" s="8">
        <v>3</v>
      </c>
      <c r="G7" s="1">
        <v>4</v>
      </c>
      <c r="H7" s="1">
        <v>5</v>
      </c>
      <c r="I7" s="1"/>
      <c r="J7" s="1"/>
      <c r="K7" s="1"/>
      <c r="M7" t="s">
        <v>441</v>
      </c>
      <c r="N7" s="90"/>
      <c r="O7" s="90">
        <f>D11*D12</f>
        <v>300000000</v>
      </c>
      <c r="P7" s="90">
        <f t="shared" ref="P7:S7" si="0">E11*E12</f>
        <v>330000000</v>
      </c>
      <c r="Q7" s="90">
        <f t="shared" si="0"/>
        <v>360000000</v>
      </c>
      <c r="R7" s="90">
        <f t="shared" si="0"/>
        <v>325000000</v>
      </c>
      <c r="S7" s="90">
        <f t="shared" si="0"/>
        <v>280000000</v>
      </c>
      <c r="T7" s="90"/>
    </row>
    <row r="8" spans="1:20" ht="15.5">
      <c r="A8" s="1"/>
      <c r="B8" s="73"/>
      <c r="C8" s="64" t="s">
        <v>260</v>
      </c>
      <c r="D8" s="8">
        <v>2025</v>
      </c>
      <c r="E8" s="8">
        <v>2026</v>
      </c>
      <c r="F8" s="8">
        <v>2027</v>
      </c>
      <c r="G8" s="8">
        <v>2028</v>
      </c>
      <c r="H8" s="8">
        <v>2029</v>
      </c>
      <c r="I8" s="2"/>
      <c r="J8" s="1"/>
      <c r="K8" s="1"/>
      <c r="M8" t="s">
        <v>442</v>
      </c>
      <c r="N8" s="90"/>
      <c r="O8" s="90">
        <f>D13*D11</f>
        <v>180000000</v>
      </c>
      <c r="P8" s="90">
        <f t="shared" ref="P8:S8" si="1">E13*E11</f>
        <v>192000000</v>
      </c>
      <c r="Q8" s="90">
        <f t="shared" si="1"/>
        <v>204000000</v>
      </c>
      <c r="R8" s="90">
        <f t="shared" si="1"/>
        <v>180000000</v>
      </c>
      <c r="S8" s="90">
        <f t="shared" si="1"/>
        <v>152000000</v>
      </c>
      <c r="T8" s="90"/>
    </row>
    <row r="9" spans="1:20" ht="15.5">
      <c r="A9" s="1" t="s">
        <v>261</v>
      </c>
      <c r="B9" s="73"/>
      <c r="C9" s="65">
        <v>500000</v>
      </c>
      <c r="D9" s="2"/>
      <c r="E9" s="2"/>
      <c r="F9" s="2"/>
      <c r="G9" s="2"/>
      <c r="H9" s="2"/>
      <c r="I9" s="1"/>
      <c r="J9" s="1"/>
      <c r="K9" s="1"/>
      <c r="M9" t="s">
        <v>488</v>
      </c>
      <c r="N9" s="90"/>
      <c r="O9" s="90">
        <f>O7-O8</f>
        <v>120000000</v>
      </c>
      <c r="P9" s="90">
        <f t="shared" ref="P9:S9" si="2">P7-P8</f>
        <v>138000000</v>
      </c>
      <c r="Q9" s="90">
        <f t="shared" si="2"/>
        <v>156000000</v>
      </c>
      <c r="R9" s="90">
        <f t="shared" si="2"/>
        <v>145000000</v>
      </c>
      <c r="S9" s="90">
        <f t="shared" si="2"/>
        <v>128000000</v>
      </c>
      <c r="T9" s="90"/>
    </row>
    <row r="10" spans="1:20" ht="15.5">
      <c r="A10" s="1" t="s">
        <v>262</v>
      </c>
      <c r="B10" s="73"/>
      <c r="C10" s="75"/>
      <c r="D10" s="1"/>
      <c r="E10" s="1"/>
      <c r="F10" s="1"/>
      <c r="G10" s="1"/>
      <c r="H10" s="86">
        <v>70000</v>
      </c>
      <c r="I10" s="1"/>
      <c r="J10" s="1"/>
      <c r="K10" s="1"/>
      <c r="M10" t="s">
        <v>444</v>
      </c>
      <c r="N10" s="90"/>
      <c r="O10" s="90">
        <f>D14*1000</f>
        <v>15000000</v>
      </c>
      <c r="P10" s="90">
        <f t="shared" ref="P10:S10" si="3">E14*1000</f>
        <v>18000000</v>
      </c>
      <c r="Q10" s="90">
        <f t="shared" si="3"/>
        <v>19000000</v>
      </c>
      <c r="R10" s="90">
        <f t="shared" si="3"/>
        <v>20000000</v>
      </c>
      <c r="S10" s="90">
        <f t="shared" si="3"/>
        <v>22000000</v>
      </c>
      <c r="T10" s="90"/>
    </row>
    <row r="11" spans="1:20" ht="15.5">
      <c r="A11" s="1" t="s">
        <v>263</v>
      </c>
      <c r="B11" s="73"/>
      <c r="C11" s="2"/>
      <c r="D11" s="87">
        <v>60000</v>
      </c>
      <c r="E11" s="65">
        <v>60000</v>
      </c>
      <c r="F11" s="65">
        <v>60000</v>
      </c>
      <c r="G11" s="65">
        <v>50000</v>
      </c>
      <c r="H11" s="86">
        <v>40000</v>
      </c>
      <c r="I11" s="1"/>
      <c r="J11" s="1"/>
      <c r="K11" s="1"/>
      <c r="M11" s="243" t="s">
        <v>445</v>
      </c>
      <c r="N11" s="244"/>
      <c r="O11" s="244">
        <f>O9-O10</f>
        <v>105000000</v>
      </c>
      <c r="P11" s="244">
        <f t="shared" ref="P11:S11" si="4">P9-P10</f>
        <v>120000000</v>
      </c>
      <c r="Q11" s="244">
        <f t="shared" si="4"/>
        <v>137000000</v>
      </c>
      <c r="R11" s="244">
        <f t="shared" si="4"/>
        <v>125000000</v>
      </c>
      <c r="S11" s="244">
        <f t="shared" si="4"/>
        <v>106000000</v>
      </c>
      <c r="T11" s="90"/>
    </row>
    <row r="12" spans="1:20" ht="15.5">
      <c r="A12" s="1" t="s">
        <v>264</v>
      </c>
      <c r="B12" s="73"/>
      <c r="C12" s="74"/>
      <c r="D12" s="65">
        <v>5000</v>
      </c>
      <c r="E12" s="65">
        <v>5500</v>
      </c>
      <c r="F12" s="65">
        <v>6000</v>
      </c>
      <c r="G12" s="65">
        <v>6500</v>
      </c>
      <c r="H12" s="86">
        <v>7000</v>
      </c>
      <c r="I12" s="1"/>
      <c r="J12" s="1"/>
      <c r="K12" s="1"/>
      <c r="M12" t="s">
        <v>495</v>
      </c>
      <c r="N12" s="90"/>
      <c r="O12" s="90">
        <f>-$N$3*O11</f>
        <v>-31500000</v>
      </c>
      <c r="P12" s="90">
        <f>-$N$3*P11</f>
        <v>-36000000</v>
      </c>
      <c r="Q12" s="90">
        <f>-$N$3*Q11</f>
        <v>-41100000</v>
      </c>
      <c r="R12" s="90">
        <f>-$N$3*R11</f>
        <v>-37500000</v>
      </c>
      <c r="S12" s="90">
        <f>-$N$3*S11</f>
        <v>-31800000</v>
      </c>
      <c r="T12" s="90"/>
    </row>
    <row r="13" spans="1:20" ht="15.5">
      <c r="A13" s="1" t="s">
        <v>265</v>
      </c>
      <c r="B13" s="77"/>
      <c r="C13" s="1"/>
      <c r="D13" s="65">
        <v>3000</v>
      </c>
      <c r="E13" s="65">
        <v>3200</v>
      </c>
      <c r="F13" s="65">
        <v>3400</v>
      </c>
      <c r="G13" s="65">
        <v>3600</v>
      </c>
      <c r="H13" s="86">
        <v>3800</v>
      </c>
      <c r="I13" s="1"/>
      <c r="J13" s="1"/>
      <c r="K13" s="1"/>
      <c r="M13" t="s">
        <v>492</v>
      </c>
      <c r="O13" s="204">
        <f>O67</f>
        <v>45000000</v>
      </c>
      <c r="P13" s="204">
        <f>P67</f>
        <v>31500000</v>
      </c>
      <c r="Q13" s="204">
        <f>Q67</f>
        <v>22500000</v>
      </c>
      <c r="R13" s="204">
        <f>R67</f>
        <v>15000000</v>
      </c>
      <c r="S13" s="204">
        <f>S67</f>
        <v>10500000</v>
      </c>
      <c r="T13" s="90"/>
    </row>
    <row r="14" spans="1:20" ht="15.5">
      <c r="A14" s="1" t="s">
        <v>266</v>
      </c>
      <c r="B14" s="77"/>
      <c r="C14" s="1"/>
      <c r="D14" s="86">
        <v>15000</v>
      </c>
      <c r="E14" s="86">
        <v>18000</v>
      </c>
      <c r="F14" s="86">
        <v>19000</v>
      </c>
      <c r="G14" s="86">
        <v>20000</v>
      </c>
      <c r="H14" s="86">
        <v>22000</v>
      </c>
      <c r="I14" s="1"/>
      <c r="J14" s="1"/>
      <c r="K14" s="1"/>
      <c r="M14" t="s">
        <v>447</v>
      </c>
      <c r="N14" s="229">
        <v>-20000000</v>
      </c>
      <c r="O14" s="229">
        <v>-5000000</v>
      </c>
      <c r="P14" s="229">
        <v>-5000000</v>
      </c>
      <c r="Q14" s="229">
        <v>-5000000</v>
      </c>
      <c r="R14" s="229">
        <v>-5000000</v>
      </c>
      <c r="S14" s="229">
        <v>40000000</v>
      </c>
      <c r="T14" s="90"/>
    </row>
    <row r="15" spans="1:20" ht="15.5">
      <c r="A15" s="1" t="s">
        <v>267</v>
      </c>
      <c r="B15" s="77"/>
      <c r="C15" s="1"/>
      <c r="D15" s="86">
        <v>150000</v>
      </c>
      <c r="E15" s="86">
        <v>105000</v>
      </c>
      <c r="F15" s="86">
        <v>75000</v>
      </c>
      <c r="G15" s="86">
        <v>50000</v>
      </c>
      <c r="H15" s="86">
        <v>35000</v>
      </c>
      <c r="I15" s="1"/>
      <c r="J15" s="1"/>
      <c r="K15" s="1"/>
      <c r="M15" t="s">
        <v>497</v>
      </c>
      <c r="N15" s="229"/>
      <c r="O15" s="229"/>
      <c r="P15" s="229"/>
      <c r="Q15" s="229"/>
      <c r="R15" s="229"/>
      <c r="S15" s="229">
        <v>70000000</v>
      </c>
      <c r="T15" s="90"/>
    </row>
    <row r="16" spans="1:20" ht="15.5">
      <c r="A16" s="1"/>
      <c r="B16" s="77"/>
      <c r="C16" s="1"/>
      <c r="D16" s="1"/>
      <c r="E16" s="1"/>
      <c r="F16" s="1"/>
      <c r="G16" s="1"/>
      <c r="H16" s="1"/>
      <c r="I16" s="1"/>
      <c r="J16" s="1"/>
      <c r="K16" s="1"/>
      <c r="M16" t="s">
        <v>505</v>
      </c>
      <c r="N16" s="229"/>
      <c r="O16" s="229"/>
      <c r="P16" s="229"/>
      <c r="Q16" s="229"/>
      <c r="R16" s="229"/>
      <c r="S16" s="229">
        <f>-N50</f>
        <v>4500000</v>
      </c>
      <c r="T16" s="90"/>
    </row>
    <row r="17" spans="1:20" ht="15.5">
      <c r="A17" s="8" t="s">
        <v>67</v>
      </c>
      <c r="B17" s="77"/>
      <c r="C17" s="1"/>
      <c r="D17" s="1"/>
      <c r="E17" s="1"/>
      <c r="F17" s="1"/>
      <c r="G17" s="1"/>
      <c r="H17" s="1"/>
      <c r="I17" s="1"/>
      <c r="J17" s="1"/>
      <c r="K17" s="1"/>
      <c r="M17" t="s">
        <v>506</v>
      </c>
      <c r="N17" s="229">
        <v>-500000000</v>
      </c>
      <c r="O17" s="229"/>
      <c r="P17" s="229"/>
      <c r="Q17" s="229"/>
      <c r="R17" s="229"/>
      <c r="S17" s="229"/>
      <c r="T17" s="90"/>
    </row>
    <row r="18" spans="1:20" ht="15.5">
      <c r="A18" s="73" t="s">
        <v>268</v>
      </c>
      <c r="B18" s="1"/>
      <c r="C18" s="1"/>
      <c r="D18" s="1"/>
      <c r="E18" s="1"/>
      <c r="F18" s="1"/>
      <c r="G18" s="1"/>
      <c r="H18" s="1"/>
      <c r="I18" s="1"/>
      <c r="J18" s="1"/>
      <c r="K18" s="1"/>
      <c r="M18" t="s">
        <v>449</v>
      </c>
      <c r="N18" s="229">
        <f>SUM(N7:N17)</f>
        <v>-520000000</v>
      </c>
      <c r="O18" s="229">
        <f>SUM(O11:O17)</f>
        <v>113500000</v>
      </c>
      <c r="P18" s="229">
        <f t="shared" ref="P18:S18" si="5">SUM(P11:P17)</f>
        <v>110500000</v>
      </c>
      <c r="Q18" s="229">
        <f t="shared" si="5"/>
        <v>113400000</v>
      </c>
      <c r="R18" s="229">
        <f t="shared" si="5"/>
        <v>97500000</v>
      </c>
      <c r="S18" s="229">
        <f t="shared" si="5"/>
        <v>199200000</v>
      </c>
      <c r="T18" s="90"/>
    </row>
    <row r="19" spans="1:20" ht="15.5">
      <c r="A19" s="73"/>
      <c r="B19" s="1" t="s">
        <v>269</v>
      </c>
      <c r="C19" s="1"/>
      <c r="D19" s="1"/>
      <c r="E19" s="1"/>
      <c r="F19" s="1"/>
      <c r="G19" s="1"/>
      <c r="H19" s="1"/>
      <c r="I19" s="1"/>
      <c r="J19" s="1"/>
      <c r="K19" s="1"/>
      <c r="N19" s="229"/>
      <c r="O19" s="229"/>
      <c r="P19" s="229"/>
      <c r="Q19" s="229"/>
      <c r="R19" s="229"/>
      <c r="S19" s="229"/>
      <c r="T19" s="90"/>
    </row>
    <row r="20" spans="1:20" ht="15.5">
      <c r="A20" s="73" t="s">
        <v>270</v>
      </c>
      <c r="B20" s="1"/>
      <c r="C20" s="1"/>
      <c r="D20" s="1"/>
      <c r="E20" s="1"/>
      <c r="F20" s="1"/>
      <c r="G20" s="1"/>
      <c r="H20" s="1"/>
      <c r="I20" s="1"/>
      <c r="J20" s="1"/>
      <c r="K20" s="1"/>
      <c r="N20" s="229"/>
      <c r="O20" s="229"/>
      <c r="P20" s="229"/>
      <c r="Q20" s="229"/>
      <c r="R20" s="229"/>
      <c r="S20" s="229"/>
      <c r="T20" s="90"/>
    </row>
    <row r="21" spans="1:20" ht="15.5">
      <c r="A21" s="1" t="s">
        <v>271</v>
      </c>
      <c r="B21" s="2"/>
      <c r="C21" s="2"/>
      <c r="D21" s="2"/>
      <c r="E21" s="1"/>
      <c r="F21" s="1"/>
      <c r="G21" s="1"/>
      <c r="H21" s="1"/>
      <c r="I21" s="1"/>
      <c r="J21" s="1"/>
      <c r="K21" s="1"/>
      <c r="N21" s="229"/>
      <c r="O21" s="229" t="s">
        <v>439</v>
      </c>
      <c r="P21" s="229" t="s">
        <v>420</v>
      </c>
      <c r="Q21" t="s">
        <v>516</v>
      </c>
      <c r="R21" s="229" t="s">
        <v>477</v>
      </c>
      <c r="S21" s="229" t="s">
        <v>515</v>
      </c>
      <c r="T21" s="90"/>
    </row>
    <row r="22" spans="1:20" ht="15.5">
      <c r="A22" s="2"/>
      <c r="B22" s="1" t="s">
        <v>272</v>
      </c>
      <c r="C22" s="2"/>
      <c r="D22" s="2"/>
      <c r="E22" s="1"/>
      <c r="F22" s="1"/>
      <c r="G22" s="1"/>
      <c r="H22" s="1"/>
      <c r="I22" s="1"/>
      <c r="J22" s="1"/>
      <c r="K22" s="1"/>
      <c r="M22" t="s">
        <v>468</v>
      </c>
      <c r="N22" s="250">
        <f>IRR(N18:S18)</f>
        <v>6.4377312959981392E-2</v>
      </c>
      <c r="O22" s="245">
        <v>0.01</v>
      </c>
      <c r="P22" s="229">
        <f>NPV(O22,$O$18:$S$18)+$N$18</f>
        <v>93991422.416561007</v>
      </c>
      <c r="Q22" s="251">
        <f>NPV(O22,$O$18:$S$18)</f>
        <v>613991422.41656101</v>
      </c>
      <c r="R22" s="229">
        <f>-$N$18</f>
        <v>520000000</v>
      </c>
      <c r="S22" s="251">
        <f>Q22/R22</f>
        <v>1.1807527354164635</v>
      </c>
      <c r="T22" s="90"/>
    </row>
    <row r="23" spans="1:20" ht="15.5">
      <c r="A23" s="2"/>
      <c r="B23" s="1"/>
      <c r="C23" s="1"/>
      <c r="D23" s="1"/>
      <c r="E23" s="1"/>
      <c r="F23" s="1"/>
      <c r="G23" s="1"/>
      <c r="H23" s="1"/>
      <c r="I23" s="1"/>
      <c r="J23" s="239"/>
      <c r="K23" s="239"/>
      <c r="N23" s="229"/>
      <c r="O23" s="245">
        <v>0.02</v>
      </c>
      <c r="P23" s="229">
        <f t="shared" ref="P23:P37" si="6">NPV(O23,$O$18:$S$18)+$N$18</f>
        <v>74839519.224058151</v>
      </c>
      <c r="Q23" s="251">
        <f t="shared" ref="Q23:Q36" si="7">NPV(O23,$O$18:$S$18)</f>
        <v>594839519.22405815</v>
      </c>
      <c r="R23" s="229">
        <f t="shared" ref="R23:R36" si="8">-$N$18</f>
        <v>520000000</v>
      </c>
      <c r="S23" s="251">
        <f t="shared" ref="S23:S36" si="9">Q23/R23</f>
        <v>1.143922152353958</v>
      </c>
      <c r="T23" s="90"/>
    </row>
    <row r="24" spans="1:20" ht="15.5">
      <c r="A24" s="8" t="s">
        <v>56</v>
      </c>
      <c r="B24" s="1"/>
      <c r="C24" s="1"/>
      <c r="D24" s="1"/>
      <c r="E24" s="1"/>
      <c r="F24" s="1"/>
      <c r="G24" s="1"/>
      <c r="H24" s="1"/>
      <c r="I24" s="1"/>
      <c r="J24" s="1"/>
      <c r="K24" s="1"/>
      <c r="M24" t="s">
        <v>514</v>
      </c>
      <c r="N24" s="229"/>
      <c r="O24" s="245">
        <v>0.03</v>
      </c>
      <c r="P24" s="229">
        <f t="shared" si="6"/>
        <v>56587243.908314824</v>
      </c>
      <c r="Q24" s="251">
        <f t="shared" si="7"/>
        <v>576587243.90831482</v>
      </c>
      <c r="R24" s="229">
        <f t="shared" si="8"/>
        <v>520000000</v>
      </c>
      <c r="S24" s="251">
        <f t="shared" si="9"/>
        <v>1.1088216229006054</v>
      </c>
      <c r="T24" s="90"/>
    </row>
    <row r="25" spans="1:20" ht="15.5">
      <c r="A25" s="1" t="s">
        <v>273</v>
      </c>
      <c r="B25" s="1"/>
      <c r="C25" s="84"/>
      <c r="D25" s="84"/>
      <c r="E25" s="1"/>
      <c r="F25" s="1"/>
      <c r="G25" s="1"/>
      <c r="H25" s="1"/>
      <c r="I25" s="1"/>
      <c r="J25" s="13" t="s">
        <v>26</v>
      </c>
      <c r="K25" s="1"/>
      <c r="N25" s="229"/>
      <c r="O25" s="245">
        <v>0.04</v>
      </c>
      <c r="P25" s="229">
        <f t="shared" si="6"/>
        <v>39181552.28821981</v>
      </c>
      <c r="Q25" s="251">
        <f t="shared" si="7"/>
        <v>559181552.28821981</v>
      </c>
      <c r="R25" s="229">
        <f t="shared" si="8"/>
        <v>520000000</v>
      </c>
      <c r="S25" s="251">
        <f t="shared" si="9"/>
        <v>1.0753491390158074</v>
      </c>
      <c r="T25" s="90"/>
    </row>
    <row r="26" spans="1:20" ht="15.5">
      <c r="A26" s="1" t="s">
        <v>274</v>
      </c>
      <c r="B26" s="1"/>
      <c r="C26" s="1"/>
      <c r="D26" s="1"/>
      <c r="E26" s="1"/>
      <c r="F26" s="1"/>
      <c r="G26" s="1"/>
      <c r="H26" s="1"/>
      <c r="I26" s="1"/>
      <c r="J26" s="13" t="s">
        <v>26</v>
      </c>
      <c r="K26" s="1"/>
      <c r="M26" s="249"/>
      <c r="N26" s="229"/>
      <c r="O26" s="245">
        <v>0.05</v>
      </c>
      <c r="P26" s="229">
        <f t="shared" si="6"/>
        <v>22573082.791047573</v>
      </c>
      <c r="Q26" s="251">
        <f t="shared" si="7"/>
        <v>542573082.79104757</v>
      </c>
      <c r="R26" s="229">
        <f t="shared" si="8"/>
        <v>520000000</v>
      </c>
      <c r="S26" s="251">
        <f t="shared" si="9"/>
        <v>1.0434097745981683</v>
      </c>
    </row>
    <row r="27" spans="1:20" ht="15.5">
      <c r="A27" s="1" t="s">
        <v>275</v>
      </c>
      <c r="B27" s="1"/>
      <c r="C27" s="26"/>
      <c r="D27" s="26"/>
      <c r="E27" s="1"/>
      <c r="F27" s="1"/>
      <c r="G27" s="1"/>
      <c r="H27" s="1"/>
      <c r="I27" s="1"/>
      <c r="K27" s="13"/>
      <c r="N27" s="229"/>
      <c r="O27" s="245">
        <v>0.06</v>
      </c>
      <c r="P27" s="229">
        <f>NPV(O27,$O$18:$S$18)+$N$18</f>
        <v>6715865.2161753178</v>
      </c>
      <c r="Q27" s="251">
        <f t="shared" si="7"/>
        <v>526715865.21617532</v>
      </c>
      <c r="R27" s="229">
        <f t="shared" si="8"/>
        <v>520000000</v>
      </c>
      <c r="S27" s="251">
        <f t="shared" si="9"/>
        <v>1.0129151254157218</v>
      </c>
    </row>
    <row r="28" spans="1:20" ht="15.5">
      <c r="A28" s="1" t="s">
        <v>276</v>
      </c>
      <c r="B28" s="1"/>
      <c r="C28" s="85"/>
      <c r="D28" s="85" t="s">
        <v>512</v>
      </c>
      <c r="E28" s="1"/>
      <c r="F28" s="1"/>
      <c r="G28" s="1"/>
      <c r="H28" s="1"/>
      <c r="I28" s="1"/>
      <c r="J28" s="13" t="s">
        <v>144</v>
      </c>
      <c r="K28" s="13"/>
      <c r="N28" s="229"/>
      <c r="O28" s="245">
        <v>7.0000000000000007E-2</v>
      </c>
      <c r="P28" s="229">
        <f t="shared" si="6"/>
        <v>-8432944.8034669161</v>
      </c>
      <c r="Q28" s="251">
        <f t="shared" si="7"/>
        <v>511567055.19653308</v>
      </c>
      <c r="R28" s="229">
        <f t="shared" si="8"/>
        <v>520000000</v>
      </c>
      <c r="S28" s="251">
        <f t="shared" si="9"/>
        <v>0.98378279845487127</v>
      </c>
    </row>
    <row r="29" spans="1:20" ht="15.5">
      <c r="A29" s="1" t="s">
        <v>277</v>
      </c>
      <c r="B29" s="1"/>
      <c r="C29" s="1"/>
      <c r="D29" s="1"/>
      <c r="E29" s="1"/>
      <c r="F29" s="1"/>
      <c r="G29" s="1"/>
      <c r="H29" s="1"/>
      <c r="I29" s="8"/>
      <c r="J29" s="13" t="s">
        <v>141</v>
      </c>
      <c r="K29" s="1"/>
      <c r="N29" s="229"/>
      <c r="O29" s="245">
        <v>0.08</v>
      </c>
      <c r="P29" s="229">
        <f t="shared" si="6"/>
        <v>-22913308.135595381</v>
      </c>
      <c r="Q29" s="251">
        <f t="shared" si="7"/>
        <v>497086691.86440462</v>
      </c>
      <c r="R29" s="229">
        <f t="shared" si="8"/>
        <v>520000000</v>
      </c>
      <c r="S29" s="251">
        <f t="shared" si="9"/>
        <v>0.95593594589308584</v>
      </c>
    </row>
    <row r="30" spans="1:20" ht="15.5">
      <c r="A30" s="2"/>
      <c r="B30" s="2"/>
      <c r="C30" s="2"/>
      <c r="D30" s="2"/>
      <c r="E30" s="2"/>
      <c r="F30" s="2"/>
      <c r="G30" s="2"/>
      <c r="H30" s="2"/>
      <c r="I30" s="2"/>
      <c r="J30" s="64" t="s">
        <v>157</v>
      </c>
      <c r="K30" s="2"/>
      <c r="O30" s="245">
        <v>0.09</v>
      </c>
      <c r="P30" s="229">
        <f t="shared" si="6"/>
        <v>-36762523.508660913</v>
      </c>
      <c r="Q30" s="251">
        <f t="shared" si="7"/>
        <v>483237476.49133909</v>
      </c>
      <c r="R30" s="229">
        <f t="shared" si="8"/>
        <v>520000000</v>
      </c>
      <c r="S30" s="251">
        <f t="shared" si="9"/>
        <v>0.92930283940642133</v>
      </c>
    </row>
    <row r="31" spans="1:20" ht="15.5">
      <c r="A31" s="2"/>
      <c r="B31" s="2"/>
      <c r="C31" s="2"/>
      <c r="D31" s="2"/>
      <c r="E31" s="2"/>
      <c r="F31" s="2"/>
      <c r="G31" s="2"/>
      <c r="H31" s="2"/>
      <c r="I31" s="2"/>
      <c r="J31" s="224"/>
      <c r="K31" s="2"/>
      <c r="O31" s="245">
        <v>0.1</v>
      </c>
      <c r="P31" s="229">
        <f t="shared" si="6"/>
        <v>-50015429.894878209</v>
      </c>
      <c r="Q31" s="251">
        <f t="shared" si="7"/>
        <v>469984570.10512179</v>
      </c>
      <c r="R31" s="229">
        <f t="shared" si="8"/>
        <v>520000000</v>
      </c>
      <c r="S31" s="251">
        <f t="shared" si="9"/>
        <v>0.90381648097138811</v>
      </c>
    </row>
    <row r="32" spans="1:20" ht="15.5">
      <c r="A32" s="2"/>
      <c r="B32" s="2"/>
      <c r="C32" s="2"/>
      <c r="D32" s="2"/>
      <c r="E32" s="2"/>
      <c r="F32" s="2"/>
      <c r="G32" s="2"/>
      <c r="H32" s="2"/>
      <c r="I32" s="2"/>
      <c r="J32" s="13" t="s">
        <v>26</v>
      </c>
      <c r="K32" s="2"/>
      <c r="O32" s="245">
        <v>0.11</v>
      </c>
      <c r="P32" s="229">
        <f t="shared" si="6"/>
        <v>-62704591.706349671</v>
      </c>
      <c r="Q32" s="251">
        <f t="shared" si="7"/>
        <v>457295408.29365033</v>
      </c>
      <c r="R32" s="229">
        <f t="shared" si="8"/>
        <v>520000000</v>
      </c>
      <c r="S32" s="251">
        <f t="shared" si="9"/>
        <v>0.87941424671855828</v>
      </c>
    </row>
    <row r="33" spans="1:25" ht="15.5">
      <c r="A33" s="2"/>
      <c r="B33" s="2"/>
      <c r="C33" s="2"/>
      <c r="D33" s="2"/>
      <c r="E33" s="2"/>
      <c r="F33" s="2"/>
      <c r="G33" s="2"/>
      <c r="H33" s="2"/>
      <c r="I33" s="2"/>
      <c r="J33" s="224"/>
      <c r="K33" s="2"/>
      <c r="O33" s="245">
        <v>0.12</v>
      </c>
      <c r="P33" s="229">
        <f t="shared" si="6"/>
        <v>-74860468.410669804</v>
      </c>
      <c r="Q33" s="251">
        <f t="shared" si="7"/>
        <v>445139531.5893302</v>
      </c>
      <c r="R33" s="229">
        <f t="shared" si="8"/>
        <v>520000000</v>
      </c>
      <c r="S33" s="251">
        <f t="shared" si="9"/>
        <v>0.85603756074871196</v>
      </c>
    </row>
    <row r="34" spans="1:25" ht="15.5">
      <c r="A34" s="2"/>
      <c r="B34" s="2"/>
      <c r="C34" s="2"/>
      <c r="D34" s="2"/>
      <c r="E34" s="2"/>
      <c r="F34" s="2"/>
      <c r="G34" s="2"/>
      <c r="H34" s="2"/>
      <c r="I34" s="2"/>
      <c r="J34" s="224"/>
      <c r="K34" s="2"/>
      <c r="O34" s="245">
        <v>0.13</v>
      </c>
      <c r="P34" s="229">
        <f t="shared" si="6"/>
        <v>-86511570.008969188</v>
      </c>
      <c r="Q34" s="251">
        <f t="shared" si="7"/>
        <v>433488429.99103081</v>
      </c>
      <c r="R34" s="229">
        <f t="shared" si="8"/>
        <v>520000000</v>
      </c>
      <c r="S34" s="251">
        <f t="shared" si="9"/>
        <v>0.83363159613659776</v>
      </c>
    </row>
    <row r="35" spans="1:25" ht="15.5">
      <c r="A35" s="2"/>
      <c r="B35" s="2"/>
      <c r="C35" s="2"/>
      <c r="D35" s="2"/>
      <c r="E35" s="2"/>
      <c r="F35" s="2"/>
      <c r="G35" s="2"/>
      <c r="H35" s="2"/>
      <c r="I35" s="2"/>
      <c r="J35" s="224"/>
      <c r="K35" s="2"/>
      <c r="O35" s="245">
        <v>0.14000000000000001</v>
      </c>
      <c r="P35" s="229">
        <f t="shared" si="6"/>
        <v>-97684599.673882842</v>
      </c>
      <c r="Q35" s="251">
        <f t="shared" si="7"/>
        <v>422315400.32611716</v>
      </c>
      <c r="R35" s="229">
        <f t="shared" si="8"/>
        <v>520000000</v>
      </c>
      <c r="S35" s="251">
        <f t="shared" si="9"/>
        <v>0.81214500062714834</v>
      </c>
    </row>
    <row r="36" spans="1:25" ht="15.5">
      <c r="A36" s="2"/>
      <c r="B36" s="2"/>
      <c r="C36" s="2"/>
      <c r="D36" s="2"/>
      <c r="E36" s="2"/>
      <c r="F36" s="2"/>
      <c r="G36" s="2"/>
      <c r="H36" s="2"/>
      <c r="I36" s="2"/>
      <c r="J36" s="224"/>
      <c r="K36" s="2"/>
      <c r="O36" s="245">
        <v>0.15</v>
      </c>
      <c r="P36" s="229">
        <f t="shared" si="6"/>
        <v>-108404584.71526444</v>
      </c>
      <c r="Q36" s="251">
        <f>NPV(O36,$O$18:$S$18)</f>
        <v>411595415.28473556</v>
      </c>
      <c r="R36" s="229">
        <f t="shared" si="8"/>
        <v>520000000</v>
      </c>
      <c r="S36" s="251">
        <f t="shared" si="9"/>
        <v>0.79152964477833765</v>
      </c>
    </row>
    <row r="37" spans="1:25" ht="15.5">
      <c r="A37" s="2"/>
      <c r="B37" s="2"/>
      <c r="C37" s="2"/>
      <c r="D37" s="2"/>
      <c r="E37" s="2"/>
      <c r="F37" s="2"/>
      <c r="G37" s="2"/>
      <c r="H37" s="2"/>
      <c r="I37" s="2"/>
      <c r="J37" s="224"/>
      <c r="K37" s="2"/>
      <c r="M37" t="s">
        <v>439</v>
      </c>
      <c r="N37" s="242">
        <v>0.1</v>
      </c>
      <c r="O37" s="248"/>
      <c r="P37" s="229"/>
    </row>
    <row r="38" spans="1:25" ht="15.5">
      <c r="A38" s="2"/>
      <c r="B38" s="2"/>
      <c r="C38" s="2"/>
      <c r="D38" s="2"/>
      <c r="E38" s="2"/>
      <c r="F38" s="2"/>
      <c r="G38" s="2"/>
      <c r="H38" s="2"/>
      <c r="I38" s="2"/>
      <c r="J38" s="224"/>
      <c r="K38" s="2"/>
      <c r="M38" t="s">
        <v>420</v>
      </c>
      <c r="N38" s="206">
        <f>NPV(N37,O18:S18)+N18</f>
        <v>-50015429.894878209</v>
      </c>
      <c r="P38" s="245"/>
      <c r="V38" t="s">
        <v>439</v>
      </c>
    </row>
    <row r="39" spans="1:25" ht="15.5">
      <c r="A39" s="2"/>
      <c r="B39" s="2"/>
      <c r="C39" s="2"/>
      <c r="D39" s="2"/>
      <c r="E39" s="2"/>
      <c r="F39" s="2"/>
      <c r="G39" s="2"/>
      <c r="H39" s="2"/>
      <c r="I39" s="2"/>
      <c r="J39" s="224"/>
      <c r="K39" s="2"/>
      <c r="P39" s="245"/>
      <c r="Q39" s="229">
        <f>N38</f>
        <v>-50015429.894878209</v>
      </c>
    </row>
    <row r="40" spans="1:25" ht="15.5">
      <c r="A40" s="2"/>
      <c r="B40" s="2"/>
      <c r="C40" s="2"/>
      <c r="D40" s="2"/>
      <c r="E40" s="2"/>
      <c r="F40" s="2"/>
      <c r="G40" s="2"/>
      <c r="H40" s="2"/>
      <c r="I40" s="2"/>
      <c r="J40" s="224"/>
      <c r="K40" s="2"/>
      <c r="P40" s="245">
        <v>0.2</v>
      </c>
      <c r="Q40" s="229">
        <f t="dataTable" ref="Q40:Q50" dt2D="0" dtr="0" r1="N3"/>
        <v>-39608757.474340558</v>
      </c>
      <c r="S40" s="206">
        <f>N38</f>
        <v>-50015429.894878209</v>
      </c>
      <c r="T40" s="242">
        <v>0.06</v>
      </c>
      <c r="U40" s="242">
        <v>7.0000000000000007E-2</v>
      </c>
      <c r="V40" s="242">
        <v>0.08</v>
      </c>
      <c r="W40" s="242">
        <v>0.09</v>
      </c>
      <c r="X40" s="242">
        <v>0.1</v>
      </c>
      <c r="Y40" s="242">
        <v>0.11</v>
      </c>
    </row>
    <row r="41" spans="1:25" ht="15.5">
      <c r="A41" s="2"/>
      <c r="B41" s="2"/>
      <c r="C41" s="2"/>
      <c r="D41" s="2"/>
      <c r="E41" s="2"/>
      <c r="F41" s="2"/>
      <c r="G41" s="2"/>
      <c r="H41" s="2"/>
      <c r="I41" s="2"/>
      <c r="J41" s="224"/>
      <c r="K41" s="2"/>
      <c r="O41" t="s">
        <v>517</v>
      </c>
      <c r="P41" s="245">
        <v>0.22</v>
      </c>
      <c r="Q41" s="229">
        <v>-41690091.958448052</v>
      </c>
      <c r="S41" s="242">
        <v>0.11</v>
      </c>
      <c r="T41" s="229">
        <f t="dataTable" ref="T41:Y51" dt2D="1" dtr="1" r1="N37" r2="N3" ca="1"/>
        <v>30315194.148923874</v>
      </c>
      <c r="U41" s="229">
        <v>14139120.077661932</v>
      </c>
      <c r="V41" s="229">
        <v>-1319634.7463957071</v>
      </c>
      <c r="W41" s="229">
        <v>-16101121.622086167</v>
      </c>
      <c r="X41" s="229">
        <v>-30242752.295856714</v>
      </c>
      <c r="Y41" s="229">
        <v>-43779497.490472198</v>
      </c>
    </row>
    <row r="42" spans="1:25" ht="15.5">
      <c r="A42" s="2"/>
      <c r="B42" s="2"/>
      <c r="C42" s="2"/>
      <c r="D42" s="2"/>
      <c r="E42" s="2"/>
      <c r="F42" s="2"/>
      <c r="G42" s="2"/>
      <c r="H42" s="2"/>
      <c r="I42" s="2"/>
      <c r="J42" s="224"/>
      <c r="K42" s="2"/>
      <c r="P42" s="245">
        <v>0.24</v>
      </c>
      <c r="Q42" s="229">
        <v>-43771426.442555666</v>
      </c>
      <c r="S42" s="242">
        <v>0.12</v>
      </c>
      <c r="T42" s="229">
        <v>29073124.205095053</v>
      </c>
      <c r="U42" s="229">
        <v>12951116.662865698</v>
      </c>
      <c r="V42" s="229">
        <v>-2456143.872143209</v>
      </c>
      <c r="W42" s="229">
        <v>-17188563.826642811</v>
      </c>
      <c r="X42" s="229">
        <v>-31283419.537910581</v>
      </c>
      <c r="Y42" s="229">
        <v>-44775555.080781519</v>
      </c>
    </row>
    <row r="43" spans="1:25" ht="15.5">
      <c r="A43" s="2"/>
      <c r="B43" s="2"/>
      <c r="C43" s="2"/>
      <c r="D43" s="2"/>
      <c r="E43" s="2"/>
      <c r="F43" s="2"/>
      <c r="G43" s="2"/>
      <c r="H43" s="2"/>
      <c r="I43" s="2"/>
      <c r="J43" s="224"/>
      <c r="K43" s="2"/>
      <c r="P43" s="245">
        <v>0.26</v>
      </c>
      <c r="Q43" s="229">
        <v>-45852760.92666316</v>
      </c>
      <c r="S43" s="242">
        <v>0.13</v>
      </c>
      <c r="T43" s="229">
        <v>27831054.261266112</v>
      </c>
      <c r="U43" s="229">
        <v>11763113.248069465</v>
      </c>
      <c r="V43" s="229">
        <v>-3592652.9978904724</v>
      </c>
      <c r="W43" s="229">
        <v>-18276006.031199276</v>
      </c>
      <c r="X43" s="229">
        <v>-32324086.779964209</v>
      </c>
      <c r="Y43" s="229">
        <v>-45771612.671090961</v>
      </c>
    </row>
    <row r="44" spans="1:25" ht="15.5">
      <c r="A44" s="2"/>
      <c r="B44" s="2"/>
      <c r="C44" s="2"/>
      <c r="D44" s="2"/>
      <c r="E44" s="2"/>
      <c r="F44" s="2"/>
      <c r="G44" s="2"/>
      <c r="H44" s="2"/>
      <c r="I44" s="2"/>
      <c r="J44" s="224"/>
      <c r="K44" s="2"/>
      <c r="P44" s="245">
        <v>0.28000000000000003</v>
      </c>
      <c r="Q44" s="229">
        <v>-47934095.410770655</v>
      </c>
      <c r="R44" t="s">
        <v>518</v>
      </c>
      <c r="S44" s="242">
        <v>0.14000000000000001</v>
      </c>
      <c r="T44" s="229">
        <v>26588984.317437291</v>
      </c>
      <c r="U44" s="229">
        <v>10575109.833273232</v>
      </c>
      <c r="V44" s="229">
        <v>-4729162.1236378551</v>
      </c>
      <c r="W44" s="229">
        <v>-19363448.23575592</v>
      </c>
      <c r="X44" s="229">
        <v>-33364754.022018075</v>
      </c>
      <c r="Y44" s="229">
        <v>-46767670.261400163</v>
      </c>
    </row>
    <row r="45" spans="1:25" ht="15.5">
      <c r="A45" s="2"/>
      <c r="B45" s="2"/>
      <c r="C45" s="2"/>
      <c r="D45" s="2"/>
      <c r="E45" s="2"/>
      <c r="F45" s="2"/>
      <c r="G45" s="2"/>
      <c r="H45" s="2"/>
      <c r="I45" s="2"/>
      <c r="J45" s="224"/>
      <c r="K45" s="2"/>
      <c r="P45" s="245">
        <v>0.3</v>
      </c>
      <c r="Q45" s="229">
        <v>-50015429.894878209</v>
      </c>
      <c r="S45" s="242">
        <v>0.15</v>
      </c>
      <c r="T45" s="229">
        <v>25346914.37360847</v>
      </c>
      <c r="U45" s="229">
        <v>9387106.4184768796</v>
      </c>
      <c r="V45" s="229">
        <v>-5865671.2493851781</v>
      </c>
      <c r="W45" s="229">
        <v>-20450890.440312445</v>
      </c>
      <c r="X45" s="229">
        <v>-34405421.264071822</v>
      </c>
      <c r="Y45" s="229">
        <v>-47763727.851709545</v>
      </c>
    </row>
    <row r="46" spans="1:25">
      <c r="P46" s="245">
        <v>0.32</v>
      </c>
      <c r="Q46" s="229">
        <v>-52096764.378985703</v>
      </c>
      <c r="S46" s="242">
        <v>0.16</v>
      </c>
      <c r="T46" s="229">
        <v>24104844.42977953</v>
      </c>
      <c r="U46" s="229">
        <v>8199103.0036806464</v>
      </c>
      <c r="V46" s="229">
        <v>-7002180.3751325607</v>
      </c>
      <c r="W46" s="229">
        <v>-21538332.64486903</v>
      </c>
      <c r="X46" s="229">
        <v>-35446088.506125569</v>
      </c>
      <c r="Y46" s="229">
        <v>-48759785.442018926</v>
      </c>
    </row>
    <row r="47" spans="1:25">
      <c r="M47" t="s">
        <v>497</v>
      </c>
      <c r="N47" s="229">
        <v>70000000</v>
      </c>
      <c r="P47" s="245">
        <v>0.34</v>
      </c>
      <c r="Q47" s="229">
        <v>-54178098.863093197</v>
      </c>
      <c r="S47" s="242">
        <v>0.17</v>
      </c>
      <c r="T47" s="229">
        <v>22862774.485950589</v>
      </c>
      <c r="U47" s="229">
        <v>7011099.5888843536</v>
      </c>
      <c r="V47" s="229">
        <v>-8138689.5008799434</v>
      </c>
      <c r="W47" s="229">
        <v>-22625774.849425554</v>
      </c>
      <c r="X47" s="229">
        <v>-36486755.748179317</v>
      </c>
      <c r="Y47" s="229">
        <v>-49755843.032328248</v>
      </c>
    </row>
    <row r="48" spans="1:25">
      <c r="M48" t="s">
        <v>503</v>
      </c>
      <c r="N48" s="229">
        <f>S61</f>
        <v>85000000</v>
      </c>
      <c r="P48" s="245">
        <v>0.36</v>
      </c>
      <c r="Q48" s="229">
        <v>-56259433.347200692</v>
      </c>
      <c r="S48" s="242">
        <v>0.18</v>
      </c>
      <c r="T48" s="229">
        <v>21620704.542121768</v>
      </c>
      <c r="U48" s="229">
        <v>5823096.1740881205</v>
      </c>
      <c r="V48" s="229">
        <v>-9275198.6266272068</v>
      </c>
      <c r="W48" s="229">
        <v>-23713217.053982139</v>
      </c>
      <c r="X48" s="229">
        <v>-37527422.990233064</v>
      </c>
      <c r="Y48" s="229">
        <v>-50751900.62263757</v>
      </c>
    </row>
    <row r="49" spans="13:25">
      <c r="M49" t="s">
        <v>504</v>
      </c>
      <c r="N49" s="229">
        <f>N47-N48</f>
        <v>-15000000</v>
      </c>
      <c r="P49" s="245">
        <v>0.38</v>
      </c>
      <c r="Q49" s="229">
        <v>-58340767.831308186</v>
      </c>
      <c r="S49" s="242">
        <v>0.19</v>
      </c>
      <c r="T49" s="229">
        <v>20378634.598292947</v>
      </c>
      <c r="U49" s="229">
        <v>4635092.7592918873</v>
      </c>
      <c r="V49" s="229">
        <v>-10411707.75237453</v>
      </c>
      <c r="W49" s="229">
        <v>-24800659.258538663</v>
      </c>
      <c r="X49" s="229">
        <v>-38568090.232286811</v>
      </c>
      <c r="Y49" s="229">
        <v>-51747958.212946892</v>
      </c>
    </row>
    <row r="50" spans="13:25">
      <c r="M50" t="s">
        <v>496</v>
      </c>
      <c r="N50" s="229">
        <f>N3*N49</f>
        <v>-4500000</v>
      </c>
      <c r="P50" s="245">
        <v>0.4</v>
      </c>
      <c r="Q50" s="229">
        <v>-60422102.31541574</v>
      </c>
      <c r="S50" s="242">
        <v>0.2</v>
      </c>
      <c r="T50" s="229">
        <v>19136564.654464006</v>
      </c>
      <c r="U50" s="229">
        <v>3447089.3444956541</v>
      </c>
      <c r="V50" s="229">
        <v>-11548216.878121912</v>
      </c>
      <c r="W50" s="229">
        <v>-25888101.463095248</v>
      </c>
      <c r="X50" s="229">
        <v>-39608757.474340558</v>
      </c>
      <c r="Y50" s="229">
        <v>-52744015.803256273</v>
      </c>
    </row>
    <row r="51" spans="13:25">
      <c r="P51" s="242"/>
      <c r="S51" s="242">
        <v>0.21</v>
      </c>
      <c r="T51" s="229">
        <v>17894494.710635185</v>
      </c>
      <c r="U51" s="229">
        <v>2259085.9296993613</v>
      </c>
      <c r="V51" s="229">
        <v>-12684726.003869295</v>
      </c>
      <c r="W51" s="229">
        <v>-26975543.667651892</v>
      </c>
      <c r="X51" s="229">
        <v>-40649424.716394305</v>
      </c>
      <c r="Y51" s="229">
        <v>-53740073.393565536</v>
      </c>
    </row>
    <row r="53" spans="13:25">
      <c r="O53" t="s">
        <v>513</v>
      </c>
    </row>
    <row r="55" spans="13:25">
      <c r="N55">
        <v>0</v>
      </c>
      <c r="O55">
        <v>1</v>
      </c>
      <c r="P55">
        <v>2</v>
      </c>
      <c r="Q55">
        <v>3</v>
      </c>
      <c r="R55">
        <v>4</v>
      </c>
      <c r="S55">
        <v>5</v>
      </c>
    </row>
    <row r="56" spans="13:25">
      <c r="M56" t="s">
        <v>498</v>
      </c>
      <c r="N56" s="229"/>
      <c r="O56" s="229"/>
      <c r="P56" s="229"/>
      <c r="Q56" s="229"/>
      <c r="R56" s="229"/>
      <c r="S56" s="229"/>
    </row>
    <row r="57" spans="13:25">
      <c r="M57" t="s">
        <v>499</v>
      </c>
      <c r="N57" s="229">
        <v>0</v>
      </c>
      <c r="O57" s="229">
        <f>N61</f>
        <v>500000000</v>
      </c>
      <c r="P57" s="229">
        <f t="shared" ref="P57:S57" si="10">O61</f>
        <v>350000000</v>
      </c>
      <c r="Q57" s="229">
        <f t="shared" si="10"/>
        <v>245000000</v>
      </c>
      <c r="R57" s="229">
        <f t="shared" si="10"/>
        <v>170000000</v>
      </c>
      <c r="S57" s="229">
        <f t="shared" si="10"/>
        <v>120000000</v>
      </c>
    </row>
    <row r="58" spans="13:25">
      <c r="M58" t="s">
        <v>500</v>
      </c>
      <c r="N58" s="229">
        <v>0</v>
      </c>
      <c r="O58" s="229">
        <v>0</v>
      </c>
      <c r="P58" s="229">
        <v>0</v>
      </c>
      <c r="Q58" s="229">
        <v>0</v>
      </c>
      <c r="R58" s="229">
        <v>0</v>
      </c>
      <c r="S58" s="229">
        <v>0</v>
      </c>
    </row>
    <row r="59" spans="13:25">
      <c r="M59" t="s">
        <v>501</v>
      </c>
      <c r="N59" s="229">
        <f>SUM(N57:N58)</f>
        <v>0</v>
      </c>
      <c r="O59" s="229">
        <f>SUM(O57:O58)</f>
        <v>500000000</v>
      </c>
      <c r="P59" s="229">
        <f t="shared" ref="P59:S59" si="11">SUM(P57:P58)</f>
        <v>350000000</v>
      </c>
      <c r="Q59" s="229">
        <f t="shared" si="11"/>
        <v>245000000</v>
      </c>
      <c r="R59" s="229">
        <f t="shared" si="11"/>
        <v>170000000</v>
      </c>
      <c r="S59" s="229">
        <f t="shared" si="11"/>
        <v>120000000</v>
      </c>
    </row>
    <row r="60" spans="13:25">
      <c r="M60" t="s">
        <v>502</v>
      </c>
      <c r="N60" s="229">
        <v>0</v>
      </c>
      <c r="O60" s="229">
        <f>O66</f>
        <v>150000000</v>
      </c>
      <c r="P60" s="229">
        <f t="shared" ref="P60:S60" si="12">P66</f>
        <v>105000000</v>
      </c>
      <c r="Q60" s="229">
        <f t="shared" si="12"/>
        <v>75000000</v>
      </c>
      <c r="R60" s="229">
        <f t="shared" si="12"/>
        <v>50000000</v>
      </c>
      <c r="S60" s="229">
        <f t="shared" si="12"/>
        <v>35000000</v>
      </c>
    </row>
    <row r="61" spans="13:25">
      <c r="M61" t="s">
        <v>511</v>
      </c>
      <c r="N61" s="229">
        <v>500000000</v>
      </c>
      <c r="O61" s="229">
        <f>O59-O60</f>
        <v>350000000</v>
      </c>
      <c r="P61" s="229">
        <f t="shared" ref="P61:S61" si="13">P59-P60</f>
        <v>245000000</v>
      </c>
      <c r="Q61" s="229">
        <f t="shared" si="13"/>
        <v>170000000</v>
      </c>
      <c r="R61" s="229">
        <f t="shared" si="13"/>
        <v>120000000</v>
      </c>
      <c r="S61" s="229">
        <f t="shared" si="13"/>
        <v>85000000</v>
      </c>
    </row>
    <row r="62" spans="13:25">
      <c r="N62" s="229"/>
      <c r="O62" s="229"/>
      <c r="P62" s="229"/>
      <c r="Q62" s="229"/>
      <c r="R62" s="229"/>
      <c r="S62" s="229"/>
    </row>
    <row r="65" spans="13:19" ht="18.5">
      <c r="M65" s="241" t="s">
        <v>493</v>
      </c>
    </row>
    <row r="66" spans="13:19">
      <c r="M66" t="s">
        <v>489</v>
      </c>
      <c r="O66" s="204">
        <f>1000*D15</f>
        <v>150000000</v>
      </c>
      <c r="P66" s="204">
        <f>1000*E15</f>
        <v>105000000</v>
      </c>
      <c r="Q66" s="204">
        <f>1000*F15</f>
        <v>75000000</v>
      </c>
      <c r="R66" s="204">
        <f>1000*G15</f>
        <v>50000000</v>
      </c>
      <c r="S66" s="204">
        <f>1000*H15</f>
        <v>35000000</v>
      </c>
    </row>
    <row r="67" spans="13:19">
      <c r="M67" t="s">
        <v>494</v>
      </c>
      <c r="O67" s="204">
        <f>$N$3*O66</f>
        <v>45000000</v>
      </c>
      <c r="P67" s="204">
        <f>$N$3*P66</f>
        <v>31500000</v>
      </c>
      <c r="Q67" s="204">
        <f>$N$3*Q66</f>
        <v>22500000</v>
      </c>
      <c r="R67" s="204">
        <f>$N$3*R66</f>
        <v>15000000</v>
      </c>
      <c r="S67" s="204">
        <f>$N$3*S66</f>
        <v>10500000</v>
      </c>
    </row>
    <row r="70" spans="13:19">
      <c r="N70">
        <v>0</v>
      </c>
      <c r="O70">
        <v>1</v>
      </c>
      <c r="P70">
        <v>2</v>
      </c>
      <c r="Q70">
        <v>3</v>
      </c>
      <c r="R70">
        <v>4</v>
      </c>
      <c r="S70">
        <v>5</v>
      </c>
    </row>
    <row r="71" spans="13:19">
      <c r="M71" t="s">
        <v>445</v>
      </c>
      <c r="N71" s="229">
        <f>N11</f>
        <v>0</v>
      </c>
      <c r="O71" s="229">
        <f t="shared" ref="O71:S71" si="14">O11</f>
        <v>105000000</v>
      </c>
      <c r="P71" s="229">
        <f t="shared" si="14"/>
        <v>120000000</v>
      </c>
      <c r="Q71" s="229">
        <f t="shared" si="14"/>
        <v>137000000</v>
      </c>
      <c r="R71" s="229">
        <f t="shared" si="14"/>
        <v>125000000</v>
      </c>
      <c r="S71" s="229">
        <f t="shared" si="14"/>
        <v>106000000</v>
      </c>
    </row>
    <row r="72" spans="13:19">
      <c r="M72" t="s">
        <v>507</v>
      </c>
      <c r="N72" s="229">
        <f>-N60</f>
        <v>0</v>
      </c>
      <c r="O72" s="229">
        <f t="shared" ref="O72:S72" si="15">-O60</f>
        <v>-150000000</v>
      </c>
      <c r="P72" s="229">
        <f t="shared" si="15"/>
        <v>-105000000</v>
      </c>
      <c r="Q72" s="229">
        <f t="shared" si="15"/>
        <v>-75000000</v>
      </c>
      <c r="R72" s="229">
        <f t="shared" si="15"/>
        <v>-50000000</v>
      </c>
      <c r="S72" s="229">
        <f t="shared" si="15"/>
        <v>-35000000</v>
      </c>
    </row>
    <row r="73" spans="13:19">
      <c r="M73" t="s">
        <v>490</v>
      </c>
      <c r="N73" s="229">
        <f>SUM(N71:N72)</f>
        <v>0</v>
      </c>
      <c r="O73" s="229">
        <f t="shared" ref="O73:S73" si="16">SUM(O71:O72)</f>
        <v>-45000000</v>
      </c>
      <c r="P73" s="229">
        <f t="shared" si="16"/>
        <v>15000000</v>
      </c>
      <c r="Q73" s="229">
        <f t="shared" si="16"/>
        <v>62000000</v>
      </c>
      <c r="R73" s="229">
        <f t="shared" si="16"/>
        <v>75000000</v>
      </c>
      <c r="S73" s="229">
        <f t="shared" si="16"/>
        <v>71000000</v>
      </c>
    </row>
    <row r="74" spans="13:19">
      <c r="M74" t="s">
        <v>508</v>
      </c>
      <c r="N74" s="229">
        <f>$N$3*-N73</f>
        <v>0</v>
      </c>
      <c r="O74" s="229">
        <f>$N$3*-O73</f>
        <v>13500000</v>
      </c>
      <c r="P74" s="229">
        <f t="shared" ref="P74:S74" si="17">$N$3*-P73</f>
        <v>-4500000</v>
      </c>
      <c r="Q74" s="229">
        <f t="shared" si="17"/>
        <v>-18600000</v>
      </c>
      <c r="R74" s="229">
        <f t="shared" si="17"/>
        <v>-22500000</v>
      </c>
      <c r="S74" s="229">
        <f t="shared" si="17"/>
        <v>-21300000</v>
      </c>
    </row>
    <row r="75" spans="13:19">
      <c r="M75" t="s">
        <v>491</v>
      </c>
      <c r="N75" s="229">
        <f>SUM(N73:N74)</f>
        <v>0</v>
      </c>
      <c r="O75" s="229">
        <f t="shared" ref="O75:S75" si="18">SUM(O73:O74)</f>
        <v>-31500000</v>
      </c>
      <c r="P75" s="229">
        <f t="shared" si="18"/>
        <v>10500000</v>
      </c>
      <c r="Q75" s="229">
        <f t="shared" si="18"/>
        <v>43400000</v>
      </c>
      <c r="R75" s="229">
        <f t="shared" si="18"/>
        <v>52500000</v>
      </c>
      <c r="S75" s="229">
        <f t="shared" si="18"/>
        <v>49700000</v>
      </c>
    </row>
    <row r="77" spans="13:19">
      <c r="M77" t="s">
        <v>510</v>
      </c>
      <c r="O77" s="229">
        <f>O61</f>
        <v>350000000</v>
      </c>
      <c r="P77" s="229">
        <f t="shared" ref="P77:S77" si="19">P61</f>
        <v>245000000</v>
      </c>
      <c r="Q77" s="229">
        <f t="shared" si="19"/>
        <v>170000000</v>
      </c>
      <c r="R77" s="229">
        <f t="shared" si="19"/>
        <v>120000000</v>
      </c>
      <c r="S77" s="229">
        <f t="shared" si="19"/>
        <v>85000000</v>
      </c>
    </row>
    <row r="79" spans="13:19">
      <c r="M79" t="s">
        <v>509</v>
      </c>
      <c r="O79" s="246">
        <f>O75/O77</f>
        <v>-0.09</v>
      </c>
      <c r="P79" s="246">
        <f t="shared" ref="P79:S79" si="20">P75/P77</f>
        <v>4.2857142857142858E-2</v>
      </c>
      <c r="Q79" s="246">
        <f t="shared" si="20"/>
        <v>0.25529411764705884</v>
      </c>
      <c r="R79" s="246">
        <f t="shared" si="20"/>
        <v>0.4375</v>
      </c>
      <c r="S79" s="246">
        <f t="shared" si="20"/>
        <v>0.58470588235294119</v>
      </c>
    </row>
  </sheetData>
  <mergeCells count="1">
    <mergeCell ref="J23:K23"/>
  </mergeCells>
  <phoneticPr fontId="44" type="noConversion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4F296-1F81-4742-9C5B-4B2E6E094ED9}">
  <dimension ref="A1:AC94"/>
  <sheetViews>
    <sheetView topLeftCell="A71" workbookViewId="0">
      <selection activeCell="X70" sqref="X70"/>
    </sheetView>
  </sheetViews>
  <sheetFormatPr defaultRowHeight="14.5"/>
  <cols>
    <col min="1" max="1" width="34.1796875" customWidth="1"/>
    <col min="2" max="2" width="45.26953125" bestFit="1" customWidth="1"/>
    <col min="3" max="3" width="33.90625" bestFit="1" customWidth="1"/>
    <col min="4" max="4" width="23.6328125" bestFit="1" customWidth="1"/>
    <col min="5" max="5" width="24.26953125" bestFit="1" customWidth="1"/>
    <col min="6" max="6" width="21.81640625" bestFit="1" customWidth="1"/>
    <col min="7" max="7" width="33.90625" bestFit="1" customWidth="1"/>
    <col min="8" max="8" width="23.6328125" bestFit="1" customWidth="1"/>
    <col min="9" max="9" width="24.26953125" style="182" bestFit="1" customWidth="1"/>
    <col min="10" max="10" width="21.81640625" style="182" bestFit="1" customWidth="1"/>
    <col min="11" max="11" width="25.08984375" style="182" bestFit="1" customWidth="1"/>
    <col min="12" max="12" width="19.453125" style="182" bestFit="1" customWidth="1"/>
    <col min="13" max="13" width="27.36328125" style="182" customWidth="1"/>
    <col min="14" max="14" width="15.26953125" style="182" bestFit="1" customWidth="1"/>
    <col min="15" max="19" width="13.6328125" style="182" bestFit="1" customWidth="1"/>
    <col min="20" max="21" width="8.7265625" style="182"/>
    <col min="22" max="22" width="13.7265625" style="182" bestFit="1" customWidth="1"/>
    <col min="23" max="24" width="14.26953125" style="182" bestFit="1" customWidth="1"/>
    <col min="25" max="25" width="15.7265625" customWidth="1"/>
    <col min="26" max="26" width="15.36328125" bestFit="1" customWidth="1"/>
    <col min="27" max="27" width="15.453125" customWidth="1"/>
    <col min="28" max="28" width="13.7265625" bestFit="1" customWidth="1"/>
    <col min="29" max="29" width="13.6328125" bestFit="1" customWidth="1"/>
  </cols>
  <sheetData>
    <row r="1" spans="1:28" ht="20.5">
      <c r="A1" s="91" t="s">
        <v>198</v>
      </c>
      <c r="B1" s="16"/>
      <c r="C1" s="1"/>
      <c r="D1" s="1"/>
      <c r="E1" s="1"/>
      <c r="F1" s="1"/>
      <c r="G1" s="1"/>
      <c r="H1" s="1"/>
      <c r="I1" s="181"/>
      <c r="J1" s="181"/>
      <c r="K1" s="181"/>
      <c r="L1" s="181"/>
    </row>
    <row r="2" spans="1:28" ht="20.5">
      <c r="A2" s="16" t="s">
        <v>278</v>
      </c>
      <c r="B2" s="16"/>
      <c r="C2" s="1"/>
      <c r="D2" s="1"/>
      <c r="E2" s="1"/>
      <c r="F2" s="1"/>
      <c r="G2" s="1"/>
      <c r="H2" s="1"/>
      <c r="I2" s="181"/>
      <c r="J2" s="181"/>
      <c r="K2" s="181"/>
      <c r="L2" s="181"/>
      <c r="N2" s="183"/>
    </row>
    <row r="3" spans="1:28" ht="15.5">
      <c r="A3" s="1"/>
      <c r="B3" s="1"/>
      <c r="C3" s="1"/>
      <c r="D3" s="1"/>
      <c r="E3" s="1"/>
      <c r="F3" s="1"/>
      <c r="O3" s="182" t="s">
        <v>466</v>
      </c>
      <c r="U3" s="182" t="s">
        <v>468</v>
      </c>
    </row>
    <row r="4" spans="1:28" ht="23">
      <c r="A4" s="92"/>
      <c r="B4" s="200" t="s">
        <v>459</v>
      </c>
      <c r="C4" s="16" t="s">
        <v>460</v>
      </c>
      <c r="D4" s="16" t="s">
        <v>461</v>
      </c>
      <c r="E4" s="16" t="s">
        <v>462</v>
      </c>
      <c r="F4" s="16" t="s">
        <v>463</v>
      </c>
      <c r="G4" s="16" t="s">
        <v>464</v>
      </c>
      <c r="H4" s="16" t="s">
        <v>465</v>
      </c>
      <c r="N4" s="182">
        <v>0</v>
      </c>
      <c r="O4" s="182">
        <v>1</v>
      </c>
      <c r="P4" s="182">
        <v>2</v>
      </c>
      <c r="Q4" s="182">
        <v>3</v>
      </c>
      <c r="R4" s="182">
        <v>4</v>
      </c>
      <c r="S4" s="182">
        <v>5</v>
      </c>
      <c r="U4" s="182" t="s">
        <v>472</v>
      </c>
    </row>
    <row r="5" spans="1:28" ht="20.5">
      <c r="A5" s="16" t="s">
        <v>279</v>
      </c>
      <c r="B5" s="93">
        <v>50000000</v>
      </c>
      <c r="C5" s="201">
        <f>(1+7.5%)*B5</f>
        <v>53750000</v>
      </c>
      <c r="D5" s="203">
        <f>B5</f>
        <v>50000000</v>
      </c>
      <c r="E5" s="204">
        <f>B5</f>
        <v>50000000</v>
      </c>
      <c r="F5" s="207">
        <f>B5</f>
        <v>50000000</v>
      </c>
      <c r="G5" s="204">
        <f>B5</f>
        <v>50000000</v>
      </c>
      <c r="H5" s="204">
        <f>B5</f>
        <v>50000000</v>
      </c>
      <c r="M5" s="183" t="s">
        <v>441</v>
      </c>
      <c r="N5" s="183"/>
      <c r="O5" s="183">
        <f>$B$7*$B$10</f>
        <v>26600000</v>
      </c>
      <c r="P5" s="183">
        <f>$B$7*$B$10</f>
        <v>26600000</v>
      </c>
      <c r="Q5" s="183">
        <f>$B$7*$B$10</f>
        <v>26600000</v>
      </c>
      <c r="R5" s="183">
        <f>$B$7*$B$10</f>
        <v>26600000</v>
      </c>
      <c r="S5" s="183">
        <f>$B$7*$B$10</f>
        <v>26600000</v>
      </c>
      <c r="U5" s="182" t="s">
        <v>473</v>
      </c>
    </row>
    <row r="6" spans="1:28" ht="20.5">
      <c r="A6" s="197" t="s">
        <v>202</v>
      </c>
      <c r="B6" s="198">
        <v>15000000</v>
      </c>
      <c r="C6" s="202">
        <f>B6</f>
        <v>15000000</v>
      </c>
      <c r="D6" s="203">
        <f t="shared" ref="D6:D11" si="0">B6</f>
        <v>15000000</v>
      </c>
      <c r="E6" s="204">
        <f t="shared" ref="E6:E11" si="1">B6</f>
        <v>15000000</v>
      </c>
      <c r="F6" s="207">
        <f t="shared" ref="F6:F11" si="2">B6</f>
        <v>15000000</v>
      </c>
      <c r="G6" s="204">
        <f t="shared" ref="G6:G11" si="3">B6</f>
        <v>15000000</v>
      </c>
      <c r="H6" s="204">
        <f t="shared" ref="H6:H11" si="4">B6</f>
        <v>15000000</v>
      </c>
      <c r="M6" s="183" t="s">
        <v>442</v>
      </c>
      <c r="N6" s="183"/>
      <c r="O6" s="183">
        <f>$B$8*$B$10</f>
        <v>13300000</v>
      </c>
      <c r="P6" s="183">
        <f>$B$8*$B$10</f>
        <v>13300000</v>
      </c>
      <c r="Q6" s="183">
        <f>$B$8*$B$10</f>
        <v>13300000</v>
      </c>
      <c r="R6" s="183">
        <f>$B$8*$B$10</f>
        <v>13300000</v>
      </c>
      <c r="S6" s="183">
        <f>$B$8*$B$10</f>
        <v>13300000</v>
      </c>
      <c r="U6" s="182" t="s">
        <v>474</v>
      </c>
    </row>
    <row r="7" spans="1:28" ht="20.5">
      <c r="A7" s="16" t="s">
        <v>203</v>
      </c>
      <c r="B7" s="93">
        <v>700</v>
      </c>
      <c r="C7" s="202">
        <f t="shared" ref="C7:C11" si="5">B7</f>
        <v>700</v>
      </c>
      <c r="D7" s="205">
        <f>(1-7.5%)*B7</f>
        <v>647.5</v>
      </c>
      <c r="E7" s="204">
        <f t="shared" si="1"/>
        <v>700</v>
      </c>
      <c r="F7" s="207">
        <f t="shared" si="2"/>
        <v>700</v>
      </c>
      <c r="G7" s="204">
        <f t="shared" si="3"/>
        <v>700</v>
      </c>
      <c r="H7" s="204">
        <f t="shared" si="4"/>
        <v>700</v>
      </c>
      <c r="I7" s="181"/>
      <c r="J7" s="181"/>
      <c r="K7" s="181"/>
      <c r="L7" s="181"/>
      <c r="M7" s="184" t="s">
        <v>443</v>
      </c>
      <c r="N7" s="183"/>
      <c r="O7" s="183">
        <f>O5-O6</f>
        <v>13300000</v>
      </c>
      <c r="P7" s="183">
        <f t="shared" ref="P7:S7" si="6">P5-P6</f>
        <v>13300000</v>
      </c>
      <c r="Q7" s="183">
        <f t="shared" si="6"/>
        <v>13300000</v>
      </c>
      <c r="R7" s="183">
        <f t="shared" si="6"/>
        <v>13300000</v>
      </c>
      <c r="S7" s="183">
        <f t="shared" si="6"/>
        <v>13300000</v>
      </c>
    </row>
    <row r="8" spans="1:28" ht="20.5">
      <c r="A8" s="16" t="s">
        <v>204</v>
      </c>
      <c r="B8" s="93">
        <v>350</v>
      </c>
      <c r="C8" s="202">
        <f t="shared" si="5"/>
        <v>350</v>
      </c>
      <c r="D8" s="203">
        <f t="shared" si="0"/>
        <v>350</v>
      </c>
      <c r="E8" s="206">
        <f>(1+7.5%)*B8</f>
        <v>376.25</v>
      </c>
      <c r="F8" s="207">
        <f t="shared" si="2"/>
        <v>350</v>
      </c>
      <c r="G8" s="204">
        <f t="shared" si="3"/>
        <v>350</v>
      </c>
      <c r="H8" s="204">
        <f t="shared" si="4"/>
        <v>350</v>
      </c>
      <c r="I8" s="181"/>
      <c r="J8" s="181"/>
      <c r="K8" s="181"/>
      <c r="L8" s="181"/>
      <c r="M8" s="184" t="s">
        <v>444</v>
      </c>
      <c r="N8" s="183"/>
      <c r="O8" s="183">
        <f>$B$9</f>
        <v>2500000</v>
      </c>
      <c r="P8" s="183">
        <f>$B$9</f>
        <v>2500000</v>
      </c>
      <c r="Q8" s="183">
        <f>$B$9</f>
        <v>2500000</v>
      </c>
      <c r="R8" s="183">
        <f>$B$9</f>
        <v>2500000</v>
      </c>
      <c r="S8" s="183">
        <f>$B$9</f>
        <v>2500000</v>
      </c>
    </row>
    <row r="9" spans="1:28" ht="20.5">
      <c r="A9" s="16" t="s">
        <v>205</v>
      </c>
      <c r="B9" s="93">
        <v>2500000</v>
      </c>
      <c r="C9" s="202">
        <f t="shared" si="5"/>
        <v>2500000</v>
      </c>
      <c r="D9" s="203">
        <f t="shared" si="0"/>
        <v>2500000</v>
      </c>
      <c r="E9" s="204">
        <f t="shared" si="1"/>
        <v>2500000</v>
      </c>
      <c r="F9" s="207">
        <f>(1+7.5%)*B9</f>
        <v>2687500</v>
      </c>
      <c r="G9" s="204">
        <f t="shared" si="3"/>
        <v>2500000</v>
      </c>
      <c r="H9" s="204">
        <f t="shared" si="4"/>
        <v>2500000</v>
      </c>
      <c r="I9" s="185"/>
      <c r="J9" s="185"/>
      <c r="K9" s="185"/>
      <c r="L9" s="186"/>
      <c r="M9" s="183" t="s">
        <v>445</v>
      </c>
      <c r="N9" s="183"/>
      <c r="O9" s="183">
        <f>O7-O8</f>
        <v>10800000</v>
      </c>
      <c r="P9" s="183">
        <f t="shared" ref="P9:S9" si="7">P7-P8</f>
        <v>10800000</v>
      </c>
      <c r="Q9" s="183">
        <f t="shared" si="7"/>
        <v>10800000</v>
      </c>
      <c r="R9" s="183">
        <f t="shared" si="7"/>
        <v>10800000</v>
      </c>
      <c r="S9" s="183">
        <f t="shared" si="7"/>
        <v>10800000</v>
      </c>
      <c r="V9" s="225" t="s">
        <v>259</v>
      </c>
      <c r="W9" s="225">
        <v>0</v>
      </c>
      <c r="X9" s="225">
        <v>1</v>
      </c>
      <c r="Y9" s="90">
        <v>2</v>
      </c>
      <c r="Z9" s="90">
        <v>3</v>
      </c>
      <c r="AA9" s="90">
        <v>4</v>
      </c>
      <c r="AB9" s="90">
        <v>5</v>
      </c>
    </row>
    <row r="10" spans="1:28" ht="20.5">
      <c r="A10" s="16" t="s">
        <v>438</v>
      </c>
      <c r="B10" s="93">
        <v>38000</v>
      </c>
      <c r="C10" s="202">
        <f t="shared" si="5"/>
        <v>38000</v>
      </c>
      <c r="D10" s="203">
        <f t="shared" si="0"/>
        <v>38000</v>
      </c>
      <c r="E10" s="204">
        <f t="shared" si="1"/>
        <v>38000</v>
      </c>
      <c r="F10" s="207">
        <f t="shared" si="2"/>
        <v>38000</v>
      </c>
      <c r="G10" s="204">
        <f>(1-7.5%)*B10</f>
        <v>35150</v>
      </c>
      <c r="H10" s="204">
        <f t="shared" si="4"/>
        <v>38000</v>
      </c>
      <c r="I10" s="185"/>
      <c r="J10" s="185"/>
      <c r="K10" s="185"/>
      <c r="L10" s="186"/>
      <c r="M10" s="184" t="s">
        <v>446</v>
      </c>
      <c r="N10" s="183">
        <f>-B5</f>
        <v>-50000000</v>
      </c>
      <c r="O10" s="183"/>
      <c r="P10" s="183"/>
      <c r="Q10" s="183"/>
      <c r="R10" s="183"/>
      <c r="S10" s="183"/>
      <c r="V10" s="225" t="s">
        <v>449</v>
      </c>
      <c r="W10" s="225">
        <v>-50000000</v>
      </c>
      <c r="X10" s="90">
        <v>10800000</v>
      </c>
      <c r="Y10" s="90">
        <v>10800000</v>
      </c>
      <c r="Z10" s="90">
        <v>10800000</v>
      </c>
      <c r="AA10" s="90">
        <v>10800000</v>
      </c>
      <c r="AB10" s="90"/>
    </row>
    <row r="11" spans="1:28" ht="20.5">
      <c r="A11" s="199" t="s">
        <v>440</v>
      </c>
      <c r="B11" s="198">
        <v>5</v>
      </c>
      <c r="C11" s="202">
        <f t="shared" si="5"/>
        <v>5</v>
      </c>
      <c r="D11" s="203">
        <f t="shared" si="0"/>
        <v>5</v>
      </c>
      <c r="E11" s="204">
        <f t="shared" si="1"/>
        <v>5</v>
      </c>
      <c r="F11" s="207">
        <f t="shared" si="2"/>
        <v>5</v>
      </c>
      <c r="G11" s="204">
        <f t="shared" si="3"/>
        <v>5</v>
      </c>
      <c r="H11" s="204">
        <f t="shared" si="4"/>
        <v>5</v>
      </c>
      <c r="I11" s="185"/>
      <c r="J11" s="185"/>
      <c r="K11" s="185"/>
      <c r="L11" s="186"/>
      <c r="M11" s="184" t="s">
        <v>447</v>
      </c>
      <c r="N11" s="183"/>
      <c r="O11" s="183"/>
      <c r="P11" s="183"/>
      <c r="Q11" s="183"/>
      <c r="R11" s="183"/>
      <c r="S11" s="183"/>
    </row>
    <row r="12" spans="1:28" ht="20.5">
      <c r="A12" s="16" t="s">
        <v>439</v>
      </c>
      <c r="B12" s="213">
        <v>0.11</v>
      </c>
      <c r="C12" s="208">
        <v>0.11</v>
      </c>
      <c r="D12" s="208">
        <v>0.11</v>
      </c>
      <c r="E12" s="208">
        <v>0.11</v>
      </c>
      <c r="F12" s="208">
        <v>0.11</v>
      </c>
      <c r="G12" s="208">
        <v>0.11</v>
      </c>
      <c r="H12" s="208">
        <f>(1+7.5%)*B12</f>
        <v>0.11824999999999999</v>
      </c>
      <c r="I12" s="185"/>
      <c r="J12" s="185"/>
      <c r="K12" s="185"/>
      <c r="L12" s="186"/>
      <c r="M12" s="184" t="s">
        <v>448</v>
      </c>
      <c r="N12" s="183"/>
      <c r="O12" s="183"/>
      <c r="P12" s="183"/>
      <c r="Q12" s="183"/>
      <c r="R12" s="183"/>
      <c r="S12" s="183">
        <f>B6</f>
        <v>15000000</v>
      </c>
    </row>
    <row r="13" spans="1:28" ht="23">
      <c r="B13" s="210"/>
      <c r="C13" s="16"/>
      <c r="D13" s="96"/>
      <c r="F13" s="97"/>
      <c r="G13" s="65"/>
      <c r="H13" s="65"/>
      <c r="I13" s="185"/>
      <c r="J13" s="185"/>
      <c r="K13" s="185"/>
      <c r="L13" s="186"/>
      <c r="M13" s="184" t="s">
        <v>449</v>
      </c>
      <c r="N13" s="183">
        <f t="shared" ref="N13:S13" si="8">SUM(N9:N12)</f>
        <v>-50000000</v>
      </c>
      <c r="O13" s="183">
        <f t="shared" si="8"/>
        <v>10800000</v>
      </c>
      <c r="P13" s="183">
        <f t="shared" si="8"/>
        <v>10800000</v>
      </c>
      <c r="Q13" s="183">
        <f t="shared" si="8"/>
        <v>10800000</v>
      </c>
      <c r="R13" s="183">
        <f t="shared" si="8"/>
        <v>10800000</v>
      </c>
      <c r="S13" s="183">
        <f t="shared" si="8"/>
        <v>25800000</v>
      </c>
      <c r="W13" s="225" t="s">
        <v>259</v>
      </c>
      <c r="X13" s="225" t="s">
        <v>449</v>
      </c>
    </row>
    <row r="14" spans="1:28" ht="20.5">
      <c r="A14" s="16" t="s">
        <v>452</v>
      </c>
      <c r="B14" s="209">
        <f>PV(B12,B11,(-(((B7-B8)*B10)-B9)),0,0)</f>
        <v>39915687.790614247</v>
      </c>
      <c r="C14" s="209">
        <f t="shared" ref="C14:H14" si="9">PV(C12,C11,(-(((C7-C8)*C10)-C9)),0,0)</f>
        <v>39915687.790614247</v>
      </c>
      <c r="D14" s="209">
        <f t="shared" si="9"/>
        <v>32542373.240403555</v>
      </c>
      <c r="E14" s="209">
        <f t="shared" si="9"/>
        <v>36229030.515508905</v>
      </c>
      <c r="F14" s="209">
        <f t="shared" si="9"/>
        <v>39222707.099804968</v>
      </c>
      <c r="G14" s="209">
        <f t="shared" si="9"/>
        <v>36229030.515508905</v>
      </c>
      <c r="H14" s="209">
        <f t="shared" si="9"/>
        <v>39100956.234799132</v>
      </c>
      <c r="I14" s="185"/>
      <c r="J14" s="185"/>
      <c r="K14" s="185"/>
      <c r="L14" s="186"/>
      <c r="M14" s="184" t="s">
        <v>456</v>
      </c>
      <c r="N14" s="187">
        <f t="shared" ref="N14:S14" si="10">(1+$B$12)^-N4</f>
        <v>1</v>
      </c>
      <c r="O14" s="187">
        <f t="shared" si="10"/>
        <v>0.9009009009009008</v>
      </c>
      <c r="P14" s="187">
        <f t="shared" si="10"/>
        <v>0.8116224332440547</v>
      </c>
      <c r="Q14" s="187">
        <f t="shared" si="10"/>
        <v>0.73119138130095018</v>
      </c>
      <c r="R14" s="187">
        <f t="shared" si="10"/>
        <v>0.65873097414500015</v>
      </c>
      <c r="S14" s="187">
        <f t="shared" si="10"/>
        <v>0.5934513280585586</v>
      </c>
      <c r="W14" s="226">
        <v>0</v>
      </c>
      <c r="X14" s="225">
        <v>-50000000</v>
      </c>
    </row>
    <row r="15" spans="1:28" ht="20.5">
      <c r="A15" s="16" t="s">
        <v>467</v>
      </c>
      <c r="B15" s="209">
        <f>NPV(B12,0,0,0,0,B6)</f>
        <v>8901769.9208783787</v>
      </c>
      <c r="C15" s="209">
        <f t="shared" ref="C15:H15" si="11">NPV(C12,0,0,0,0,C6)</f>
        <v>8901769.9208783787</v>
      </c>
      <c r="D15" s="209">
        <f t="shared" si="11"/>
        <v>8901769.9208783787</v>
      </c>
      <c r="E15" s="209">
        <f t="shared" si="11"/>
        <v>8901769.9208783787</v>
      </c>
      <c r="F15" s="209">
        <f t="shared" si="11"/>
        <v>8901769.9208783787</v>
      </c>
      <c r="G15" s="209">
        <f t="shared" si="11"/>
        <v>8901769.9208783787</v>
      </c>
      <c r="H15" s="209">
        <f t="shared" si="11"/>
        <v>8578211.0072708353</v>
      </c>
      <c r="I15" s="185"/>
      <c r="J15" s="185"/>
      <c r="K15" s="185"/>
      <c r="L15" s="186"/>
      <c r="M15" s="184" t="s">
        <v>450</v>
      </c>
      <c r="N15" s="183">
        <f>N13*N14</f>
        <v>-50000000</v>
      </c>
      <c r="O15" s="183">
        <f t="shared" ref="O15:R15" si="12">O13*O14</f>
        <v>9729729.7297297288</v>
      </c>
      <c r="P15" s="183">
        <f t="shared" si="12"/>
        <v>8765522.2790357899</v>
      </c>
      <c r="Q15" s="183">
        <f t="shared" si="12"/>
        <v>7896866.9180502621</v>
      </c>
      <c r="R15" s="183">
        <f t="shared" si="12"/>
        <v>7114294.5207660012</v>
      </c>
      <c r="S15" s="183">
        <f>S13*S14</f>
        <v>15311044.263910811</v>
      </c>
      <c r="W15" s="225">
        <v>1</v>
      </c>
      <c r="X15" s="90">
        <v>10800000</v>
      </c>
    </row>
    <row r="16" spans="1:28" ht="20.5">
      <c r="A16" s="16" t="s">
        <v>420</v>
      </c>
      <c r="B16" s="209">
        <f>B14+B15-B5</f>
        <v>-1182542.2885073721</v>
      </c>
      <c r="C16" s="209">
        <f t="shared" ref="C16:H16" si="13">C14+C15-C5</f>
        <v>-4932542.2885073721</v>
      </c>
      <c r="D16" s="209">
        <f t="shared" si="13"/>
        <v>-8555856.8387180641</v>
      </c>
      <c r="E16" s="209">
        <f t="shared" si="13"/>
        <v>-4869199.5636127144</v>
      </c>
      <c r="F16" s="209">
        <f t="shared" si="13"/>
        <v>-1875522.9793166518</v>
      </c>
      <c r="G16" s="209">
        <f t="shared" si="13"/>
        <v>-4869199.5636127144</v>
      </c>
      <c r="H16" s="209">
        <f t="shared" si="13"/>
        <v>-2320832.7579300329</v>
      </c>
      <c r="I16" s="185"/>
      <c r="J16" s="185"/>
      <c r="K16" s="185"/>
      <c r="L16" s="186"/>
      <c r="M16" s="184" t="s">
        <v>420</v>
      </c>
      <c r="N16" s="183">
        <f>SUM(N15:S15)</f>
        <v>-1182542.2885074057</v>
      </c>
      <c r="O16" s="183" t="s">
        <v>451</v>
      </c>
      <c r="P16" s="183"/>
      <c r="Q16" s="183"/>
      <c r="R16" s="183"/>
      <c r="S16" s="183"/>
      <c r="W16" s="90">
        <v>2</v>
      </c>
      <c r="X16" s="90">
        <v>10800000</v>
      </c>
    </row>
    <row r="17" spans="1:27" ht="23">
      <c r="C17" s="16"/>
      <c r="D17" s="96"/>
      <c r="F17" s="97"/>
      <c r="G17" s="65"/>
      <c r="H17" s="65"/>
      <c r="I17" s="185"/>
      <c r="J17" s="185"/>
      <c r="K17" s="185"/>
      <c r="L17" s="186"/>
      <c r="M17" s="183" t="s">
        <v>420</v>
      </c>
      <c r="N17" s="183">
        <f>NPV(B12,O13:S13)+N13</f>
        <v>-1182542.2885074019</v>
      </c>
      <c r="O17" s="183" t="s">
        <v>451</v>
      </c>
      <c r="P17" s="183"/>
      <c r="Q17" s="183"/>
      <c r="R17" s="183"/>
      <c r="S17" s="183"/>
      <c r="W17" s="90">
        <v>3</v>
      </c>
      <c r="X17" s="90">
        <v>10800000</v>
      </c>
    </row>
    <row r="18" spans="1:27" ht="20.5">
      <c r="A18" s="16" t="s">
        <v>420</v>
      </c>
      <c r="C18" s="209">
        <f t="shared" ref="C18:H18" si="14">(PV(C12,C11,(-(((C7-C8)*C10)-C9)),0,0))+(NPV(C12,0,0,0,0,C6))-C5</f>
        <v>-4932542.2885073721</v>
      </c>
      <c r="D18" s="209">
        <f t="shared" si="14"/>
        <v>-8555856.8387180641</v>
      </c>
      <c r="E18" s="209">
        <f t="shared" si="14"/>
        <v>-4869199.5636127144</v>
      </c>
      <c r="F18" s="209">
        <f t="shared" si="14"/>
        <v>-1875522.9793166518</v>
      </c>
      <c r="G18" s="209">
        <f t="shared" si="14"/>
        <v>-4869199.5636127144</v>
      </c>
      <c r="H18" s="209">
        <f t="shared" si="14"/>
        <v>-2320832.7579300329</v>
      </c>
      <c r="I18" s="185"/>
      <c r="J18" s="185"/>
      <c r="K18" s="185"/>
      <c r="L18" s="186"/>
      <c r="M18" s="183"/>
      <c r="N18" s="183"/>
      <c r="O18" s="183"/>
      <c r="P18" s="183"/>
      <c r="Q18" s="183"/>
      <c r="R18" s="183"/>
      <c r="S18" s="183"/>
      <c r="W18" s="90">
        <v>4</v>
      </c>
      <c r="X18" s="90">
        <v>10800000</v>
      </c>
    </row>
    <row r="19" spans="1:27" ht="20.5">
      <c r="A19" s="16" t="s">
        <v>471</v>
      </c>
      <c r="B19" s="180"/>
      <c r="C19" s="180"/>
      <c r="D19" s="180"/>
      <c r="E19" s="180"/>
      <c r="F19" s="180"/>
      <c r="G19" s="180"/>
      <c r="H19" s="180"/>
      <c r="I19" s="185"/>
      <c r="J19" s="185"/>
      <c r="K19" s="185"/>
      <c r="L19" s="186"/>
      <c r="M19" s="183" t="s">
        <v>452</v>
      </c>
      <c r="N19" s="183">
        <f>-PV(B12,4,10800000,0,0)</f>
        <v>33506413.447581805</v>
      </c>
      <c r="O19" s="183">
        <f>PV(B12,4,-10800000,0,0)</f>
        <v>33506413.447581805</v>
      </c>
      <c r="P19" s="183"/>
      <c r="Q19" s="183"/>
      <c r="R19" s="183"/>
      <c r="S19" s="183"/>
      <c r="W19" s="90">
        <v>5</v>
      </c>
      <c r="X19" s="90">
        <v>25800000</v>
      </c>
    </row>
    <row r="20" spans="1:27" ht="20.5">
      <c r="A20" s="16"/>
      <c r="B20" s="180" t="s">
        <v>469</v>
      </c>
      <c r="C20" s="180"/>
      <c r="D20" s="180"/>
      <c r="E20" s="180"/>
      <c r="F20" s="180"/>
      <c r="G20" s="180"/>
      <c r="H20" s="180"/>
      <c r="I20" s="185"/>
      <c r="J20" s="185"/>
      <c r="K20" s="185"/>
      <c r="L20" s="186"/>
      <c r="M20" s="184" t="s">
        <v>453</v>
      </c>
      <c r="N20" s="183">
        <f>S13*S14</f>
        <v>15311044.263910811</v>
      </c>
      <c r="O20" s="183">
        <f>NPV(B12,0,0,0,0,S13)</f>
        <v>15311044.263910813</v>
      </c>
      <c r="P20" s="183">
        <f>NPV(B12,0,0,0,0,S13)</f>
        <v>15311044.263910813</v>
      </c>
      <c r="Q20" s="183"/>
      <c r="R20" s="183"/>
      <c r="S20" s="183"/>
      <c r="W20" s="225"/>
      <c r="X20" s="225"/>
    </row>
    <row r="21" spans="1:27" ht="23">
      <c r="A21" s="16"/>
      <c r="C21" s="16"/>
      <c r="D21" s="96"/>
      <c r="F21" s="97"/>
      <c r="G21" s="65"/>
      <c r="H21" s="65"/>
      <c r="I21" s="185"/>
      <c r="J21" s="185"/>
      <c r="K21" s="185"/>
      <c r="L21" s="186"/>
      <c r="M21" s="184" t="s">
        <v>454</v>
      </c>
      <c r="N21" s="183">
        <f>SUM(N19:N20)</f>
        <v>48817457.711492613</v>
      </c>
      <c r="O21" s="183"/>
      <c r="P21" s="183"/>
      <c r="Q21" s="183"/>
      <c r="R21" s="183"/>
      <c r="S21" s="183"/>
      <c r="W21" s="225" t="s">
        <v>439</v>
      </c>
      <c r="X21" s="227">
        <v>0.11</v>
      </c>
    </row>
    <row r="22" spans="1:27" ht="23">
      <c r="A22" s="16" t="s">
        <v>485</v>
      </c>
      <c r="B22" t="s">
        <v>486</v>
      </c>
      <c r="C22" s="16"/>
      <c r="D22" s="96">
        <f>B16</f>
        <v>-1182542.2885073721</v>
      </c>
      <c r="F22" s="97"/>
      <c r="G22" s="65"/>
      <c r="H22" s="65"/>
      <c r="I22" s="185"/>
      <c r="J22" s="185"/>
      <c r="K22" s="185"/>
      <c r="L22" s="186"/>
      <c r="M22" s="184" t="s">
        <v>455</v>
      </c>
      <c r="N22" s="183">
        <f>N21+N13</f>
        <v>-1182542.288507387</v>
      </c>
      <c r="O22" s="183" t="s">
        <v>451</v>
      </c>
      <c r="P22" s="183"/>
      <c r="Q22" s="183"/>
      <c r="R22" s="183"/>
      <c r="S22" s="183"/>
      <c r="W22" s="225" t="s">
        <v>420</v>
      </c>
      <c r="X22" s="90">
        <f>NPV(X21,X15:X19)+X14</f>
        <v>-1182542.2885074019</v>
      </c>
      <c r="Y22" t="s">
        <v>451</v>
      </c>
    </row>
    <row r="23" spans="1:27" ht="23">
      <c r="A23" s="214">
        <v>0.06</v>
      </c>
      <c r="B23" s="209">
        <f>(PV(A23,$B$11,(-((($B$7-$B$8)*$B$10)-$B$9)),0,0))+(NPV(A23,0,0,0,0,$B$6))-$B$5</f>
        <v>6702401.4771006182</v>
      </c>
      <c r="C23" s="214">
        <v>0.06</v>
      </c>
      <c r="D23" s="96">
        <f t="dataTable" ref="D23:D31" dt2D="0" dtr="0" r1="B12"/>
        <v>6702401.4771006182</v>
      </c>
      <c r="F23" s="97"/>
      <c r="G23" s="65"/>
      <c r="H23" s="65"/>
      <c r="I23" s="185"/>
      <c r="J23" s="185"/>
      <c r="K23" s="185"/>
      <c r="L23" s="186"/>
      <c r="M23" s="184"/>
      <c r="N23" s="183"/>
      <c r="O23" s="183"/>
      <c r="P23" s="183"/>
      <c r="Q23" s="183"/>
      <c r="R23" s="183"/>
      <c r="S23" s="183"/>
      <c r="W23" s="90" t="s">
        <v>468</v>
      </c>
      <c r="X23" s="228">
        <f>IRR(X14:X19)</f>
        <v>0.10173769575625369</v>
      </c>
      <c r="AA23" s="228"/>
    </row>
    <row r="24" spans="1:27" ht="23">
      <c r="A24" s="214">
        <v>7.0000000000000007E-2</v>
      </c>
      <c r="B24" s="209">
        <f t="shared" ref="B24:B33" si="15">(PV(A24,$B$11,(-((($B$7-$B$8)*$B$10)-$B$9)),0,0))+(NPV(A24,0,0,0,0,$B$6))-$B$5</f>
        <v>4976925.0004890412</v>
      </c>
      <c r="C24" s="214">
        <v>7.0000000000000007E-2</v>
      </c>
      <c r="D24" s="96">
        <v>4976925.0004890412</v>
      </c>
      <c r="F24" s="97"/>
      <c r="G24" s="65"/>
      <c r="H24" s="65"/>
      <c r="I24" s="185"/>
      <c r="J24" s="185"/>
      <c r="K24" s="185"/>
      <c r="L24" s="186"/>
      <c r="M24" s="184"/>
      <c r="N24" s="183"/>
      <c r="O24" s="183"/>
      <c r="P24" s="183"/>
      <c r="Q24" s="183"/>
      <c r="R24" s="183"/>
      <c r="S24" s="183"/>
      <c r="W24" s="90" t="s">
        <v>472</v>
      </c>
      <c r="X24" s="90" t="s">
        <v>476</v>
      </c>
    </row>
    <row r="25" spans="1:27" ht="23">
      <c r="A25" s="214">
        <v>0.08</v>
      </c>
      <c r="B25" s="209">
        <f>(PV(A25,$B$11,(-((($B$7-$B$8)*$B$10)-$B$9)),0,0))+(NPV(A25,0,0,0,0,$B$6))-$B$5</f>
        <v>3330016.3559496403</v>
      </c>
      <c r="C25" s="214">
        <v>0.08</v>
      </c>
      <c r="D25" s="96">
        <v>3330016.3559496403</v>
      </c>
      <c r="F25" s="97"/>
      <c r="G25" s="65"/>
      <c r="H25" s="65"/>
      <c r="I25" s="185"/>
      <c r="J25" s="185"/>
      <c r="K25" s="185"/>
      <c r="L25" s="186"/>
      <c r="M25" s="184" t="s">
        <v>468</v>
      </c>
      <c r="N25" s="212">
        <f>IRR(N13:S13)</f>
        <v>0.10173769575625369</v>
      </c>
      <c r="O25" s="183"/>
      <c r="P25" s="183"/>
      <c r="Q25" s="183"/>
      <c r="R25" s="183"/>
      <c r="S25" s="183"/>
      <c r="W25" s="182" t="s">
        <v>475</v>
      </c>
      <c r="X25" s="90">
        <f>NPV(X21,X15:X19)</f>
        <v>48817457.711492598</v>
      </c>
      <c r="Z25" s="210"/>
    </row>
    <row r="26" spans="1:27" ht="23">
      <c r="A26" s="214">
        <v>0.09</v>
      </c>
      <c r="B26" s="209">
        <f t="shared" si="15"/>
        <v>1757204.4386737496</v>
      </c>
      <c r="C26" s="214">
        <v>0.09</v>
      </c>
      <c r="D26" s="96">
        <v>1757204.4386737496</v>
      </c>
      <c r="F26" s="97"/>
      <c r="G26" s="65"/>
      <c r="H26" s="65"/>
      <c r="I26" s="185"/>
      <c r="J26" s="185"/>
      <c r="K26" s="185"/>
      <c r="L26" s="186"/>
      <c r="M26" s="184"/>
      <c r="N26" s="183"/>
      <c r="O26" s="183"/>
      <c r="P26" s="183"/>
      <c r="Q26" s="183"/>
      <c r="R26" s="183"/>
      <c r="S26" s="183"/>
      <c r="W26" s="90" t="s">
        <v>477</v>
      </c>
      <c r="X26" s="90">
        <v>50000000</v>
      </c>
    </row>
    <row r="27" spans="1:27" ht="23">
      <c r="A27" s="214">
        <v>0.1</v>
      </c>
      <c r="B27" s="209">
        <f t="shared" si="15"/>
        <v>254316.95549859107</v>
      </c>
      <c r="C27" s="214">
        <v>0.1</v>
      </c>
      <c r="D27" s="96">
        <v>254316.95549859107</v>
      </c>
      <c r="F27" s="97"/>
      <c r="G27" s="65"/>
      <c r="H27" s="65"/>
      <c r="I27" s="185"/>
      <c r="J27" s="185"/>
      <c r="K27" s="185"/>
      <c r="L27" s="186"/>
      <c r="M27" s="184"/>
      <c r="N27" s="183"/>
      <c r="O27" s="183"/>
      <c r="P27" s="183"/>
      <c r="Q27" s="183"/>
      <c r="R27" s="183"/>
      <c r="S27" s="183"/>
      <c r="W27" s="182" t="s">
        <v>472</v>
      </c>
      <c r="X27" s="182">
        <f>X25/X26</f>
        <v>0.97634915422985191</v>
      </c>
      <c r="Y27" t="s">
        <v>451</v>
      </c>
    </row>
    <row r="28" spans="1:27" ht="23">
      <c r="A28" s="214">
        <v>0.11</v>
      </c>
      <c r="B28" s="209">
        <f t="shared" si="15"/>
        <v>-1182542.2885073721</v>
      </c>
      <c r="C28" s="214">
        <v>0.11</v>
      </c>
      <c r="D28" s="96">
        <v>-1182542.2885073721</v>
      </c>
      <c r="F28" s="97"/>
      <c r="G28" s="65"/>
      <c r="H28" s="65"/>
      <c r="I28" s="185"/>
      <c r="J28" s="185"/>
      <c r="K28" s="185"/>
      <c r="L28" s="186"/>
      <c r="M28" s="184"/>
      <c r="N28" s="183"/>
      <c r="O28" s="183"/>
      <c r="P28" s="183"/>
      <c r="Q28" s="183"/>
      <c r="R28" s="183"/>
      <c r="S28" s="183"/>
      <c r="W28" s="182" t="s">
        <v>473</v>
      </c>
    </row>
    <row r="29" spans="1:27" ht="23">
      <c r="A29" s="214">
        <v>0.12</v>
      </c>
      <c r="B29" s="209">
        <f t="shared" si="15"/>
        <v>-2557014.178894937</v>
      </c>
      <c r="C29" s="214">
        <v>0.12</v>
      </c>
      <c r="D29" s="96">
        <v>-2557014.178894937</v>
      </c>
      <c r="F29" s="97"/>
      <c r="G29" s="65"/>
      <c r="H29" s="65"/>
      <c r="I29" s="185"/>
      <c r="J29" s="185"/>
      <c r="K29" s="185"/>
      <c r="L29" s="186"/>
      <c r="M29" s="184"/>
      <c r="N29" s="183"/>
      <c r="O29" s="183"/>
      <c r="P29" s="183"/>
      <c r="Q29" s="183"/>
      <c r="R29" s="183"/>
      <c r="S29" s="183"/>
    </row>
    <row r="30" spans="1:27" ht="23">
      <c r="A30" s="214">
        <v>0.13</v>
      </c>
      <c r="B30" s="209">
        <f t="shared" si="15"/>
        <v>-3872503.3353470862</v>
      </c>
      <c r="C30" s="214">
        <v>0.13</v>
      </c>
      <c r="D30" s="96">
        <v>-3872503.3353470862</v>
      </c>
      <c r="F30" s="97"/>
      <c r="G30" s="65"/>
      <c r="H30" s="65"/>
      <c r="I30" s="185"/>
      <c r="J30" s="185"/>
      <c r="K30" s="185"/>
      <c r="L30" s="186"/>
      <c r="M30" s="184"/>
      <c r="N30" s="183"/>
      <c r="O30" s="183"/>
      <c r="P30" s="183"/>
      <c r="Q30" s="183"/>
      <c r="R30" s="183"/>
      <c r="S30" s="183"/>
      <c r="W30" s="225" t="s">
        <v>259</v>
      </c>
      <c r="X30" s="225" t="s">
        <v>449</v>
      </c>
      <c r="Y30" t="s">
        <v>479</v>
      </c>
    </row>
    <row r="31" spans="1:27" ht="23">
      <c r="A31" s="214">
        <v>0.14000000000000001</v>
      </c>
      <c r="B31" s="209">
        <f t="shared" si="15"/>
        <v>-5132195.570931375</v>
      </c>
      <c r="C31" s="214">
        <v>0.14000000000000001</v>
      </c>
      <c r="D31" s="96">
        <v>-5132195.570931375</v>
      </c>
      <c r="F31" s="97"/>
      <c r="G31" s="65"/>
      <c r="H31" s="65"/>
      <c r="I31" s="185"/>
      <c r="J31" s="185"/>
      <c r="K31" s="185"/>
      <c r="L31" s="186"/>
      <c r="M31" s="184"/>
      <c r="N31" s="183"/>
      <c r="O31" s="183"/>
      <c r="P31" s="183"/>
      <c r="Q31" s="183"/>
      <c r="R31" s="183"/>
      <c r="S31" s="183"/>
      <c r="W31" s="226">
        <v>0</v>
      </c>
      <c r="X31" s="225">
        <v>-50000000</v>
      </c>
      <c r="Y31" s="229">
        <f>X31</f>
        <v>-50000000</v>
      </c>
    </row>
    <row r="32" spans="1:27" ht="23">
      <c r="A32" s="214">
        <v>0.15</v>
      </c>
      <c r="B32" s="209">
        <f t="shared" si="15"/>
        <v>-6339073.9120025262</v>
      </c>
      <c r="C32" s="16"/>
      <c r="D32" s="96"/>
      <c r="F32" s="97"/>
      <c r="G32" s="65"/>
      <c r="H32" s="65"/>
      <c r="I32" s="185"/>
      <c r="J32" s="185"/>
      <c r="K32" s="185"/>
      <c r="L32" s="186"/>
      <c r="M32" s="184"/>
      <c r="N32" s="183"/>
      <c r="O32" s="183"/>
      <c r="P32" s="183"/>
      <c r="Q32" s="183"/>
      <c r="R32" s="183"/>
      <c r="S32" s="183"/>
      <c r="W32" s="225">
        <v>1</v>
      </c>
      <c r="X32" s="90">
        <v>10800000</v>
      </c>
      <c r="Y32" s="229">
        <f>Y31+X32</f>
        <v>-39200000</v>
      </c>
      <c r="Z32">
        <v>4</v>
      </c>
      <c r="AA32" s="229">
        <v>6800000</v>
      </c>
    </row>
    <row r="33" spans="1:28" ht="23">
      <c r="A33" s="214">
        <v>0.16</v>
      </c>
      <c r="B33" s="209">
        <f t="shared" si="15"/>
        <v>-7495933.3092456311</v>
      </c>
      <c r="C33" s="16"/>
      <c r="D33" s="214"/>
      <c r="E33" s="216"/>
      <c r="F33" s="97"/>
      <c r="G33" s="65"/>
      <c r="H33" s="65"/>
      <c r="I33" s="185"/>
      <c r="J33" s="185"/>
      <c r="K33" s="185"/>
      <c r="L33" s="186"/>
      <c r="M33" s="184"/>
      <c r="N33" s="183"/>
      <c r="O33" s="183"/>
      <c r="P33" s="183"/>
      <c r="Q33" s="183"/>
      <c r="R33" s="183"/>
      <c r="S33" s="183"/>
      <c r="W33" s="90">
        <v>2</v>
      </c>
      <c r="X33" s="90">
        <v>10800000</v>
      </c>
      <c r="Y33" s="229">
        <f>Y32+X33</f>
        <v>-28400000</v>
      </c>
      <c r="AA33" s="229">
        <f>X36</f>
        <v>25800000</v>
      </c>
      <c r="AB33">
        <f>AA32/AA33</f>
        <v>0.26356589147286824</v>
      </c>
    </row>
    <row r="34" spans="1:28" ht="23">
      <c r="A34" s="214"/>
      <c r="B34" s="209"/>
      <c r="C34" s="16"/>
      <c r="D34" s="215"/>
      <c r="F34" s="97"/>
      <c r="G34" s="65"/>
      <c r="H34" s="65"/>
      <c r="I34" s="185"/>
      <c r="J34" s="185"/>
      <c r="K34" s="185"/>
      <c r="L34" s="186"/>
      <c r="M34" s="184"/>
      <c r="N34" s="183"/>
      <c r="O34" s="183"/>
      <c r="P34" s="183"/>
      <c r="Q34" s="183"/>
      <c r="R34" s="183"/>
      <c r="S34" s="183"/>
      <c r="W34" s="90">
        <v>3</v>
      </c>
      <c r="X34" s="90">
        <v>10800000</v>
      </c>
      <c r="Y34" s="229">
        <f>Y33+X34</f>
        <v>-17600000</v>
      </c>
      <c r="Z34" s="206">
        <f>AA32/AA33</f>
        <v>0.26356589147286824</v>
      </c>
    </row>
    <row r="35" spans="1:28" ht="23">
      <c r="A35" s="16"/>
      <c r="B35" s="180"/>
      <c r="C35" s="16" t="s">
        <v>439</v>
      </c>
      <c r="D35" s="96" t="s">
        <v>420</v>
      </c>
      <c r="F35" s="97"/>
      <c r="G35" s="65"/>
      <c r="H35" s="65"/>
      <c r="I35" s="185"/>
      <c r="J35" s="185"/>
      <c r="K35" s="185"/>
      <c r="L35" s="186"/>
      <c r="M35" s="184"/>
      <c r="N35" s="183"/>
      <c r="O35" s="183"/>
      <c r="P35" s="183"/>
      <c r="Q35" s="183"/>
      <c r="R35" s="183"/>
      <c r="S35" s="183"/>
      <c r="W35" s="90">
        <v>4</v>
      </c>
      <c r="X35" s="90">
        <v>10800000</v>
      </c>
      <c r="Y35" s="229">
        <f>Y34+X35</f>
        <v>-6800000</v>
      </c>
    </row>
    <row r="36" spans="1:28" ht="23">
      <c r="A36" s="16"/>
      <c r="B36" s="180"/>
      <c r="C36" s="214">
        <f>C23</f>
        <v>0.06</v>
      </c>
      <c r="D36" s="96">
        <f>D23</f>
        <v>6702401.4771006182</v>
      </c>
      <c r="F36" s="97"/>
      <c r="G36" s="65"/>
      <c r="H36" s="65"/>
      <c r="I36" s="185"/>
      <c r="J36" s="185"/>
      <c r="K36" s="185"/>
      <c r="L36" s="186"/>
      <c r="M36" s="184"/>
      <c r="N36" s="183"/>
      <c r="O36" s="183"/>
      <c r="P36" s="183"/>
      <c r="Q36" s="183"/>
      <c r="R36" s="183"/>
      <c r="S36" s="183"/>
      <c r="W36" s="90">
        <v>5</v>
      </c>
      <c r="X36" s="90">
        <v>25800000</v>
      </c>
      <c r="Y36" s="229">
        <f>Y35+X36</f>
        <v>19000000</v>
      </c>
      <c r="Z36" s="230">
        <f>SUM(Z32:Z35)</f>
        <v>4.2635658914728687</v>
      </c>
    </row>
    <row r="37" spans="1:28" ht="23">
      <c r="A37" s="16"/>
      <c r="B37" s="180"/>
      <c r="C37" s="214">
        <f t="shared" ref="C37:D37" si="16">C24</f>
        <v>7.0000000000000007E-2</v>
      </c>
      <c r="D37" s="96">
        <f t="shared" si="16"/>
        <v>4976925.0004890412</v>
      </c>
      <c r="F37" s="97"/>
      <c r="G37" s="65"/>
      <c r="H37" s="65"/>
      <c r="I37" s="185"/>
      <c r="J37" s="185"/>
      <c r="K37" s="185"/>
      <c r="L37" s="186"/>
      <c r="M37" s="184"/>
      <c r="N37" s="183"/>
      <c r="O37" s="183"/>
      <c r="P37" s="183"/>
      <c r="Q37" s="183"/>
      <c r="R37" s="183"/>
      <c r="S37" s="183"/>
    </row>
    <row r="38" spans="1:28" ht="23">
      <c r="A38" s="16"/>
      <c r="B38" s="180"/>
      <c r="C38" s="214">
        <f t="shared" ref="C38:D38" si="17">C25</f>
        <v>0.08</v>
      </c>
      <c r="D38" s="96">
        <f t="shared" si="17"/>
        <v>3330016.3559496403</v>
      </c>
      <c r="F38" s="97"/>
      <c r="G38" s="65"/>
      <c r="H38" s="65"/>
      <c r="I38" s="185"/>
      <c r="J38" s="185"/>
      <c r="K38" s="185"/>
      <c r="L38" s="186"/>
      <c r="M38" s="184"/>
      <c r="N38" s="183"/>
      <c r="O38" s="183"/>
      <c r="P38" s="183"/>
      <c r="Q38" s="183"/>
      <c r="R38" s="183"/>
      <c r="S38" s="183"/>
      <c r="W38" s="182" t="s">
        <v>480</v>
      </c>
    </row>
    <row r="39" spans="1:28" ht="23">
      <c r="A39" s="16"/>
      <c r="B39" s="180"/>
      <c r="C39" s="214">
        <f t="shared" ref="C39:D39" si="18">C26</f>
        <v>0.09</v>
      </c>
      <c r="D39" s="96">
        <f t="shared" si="18"/>
        <v>1757204.4386737496</v>
      </c>
      <c r="F39" s="97"/>
      <c r="G39" s="65"/>
      <c r="H39" s="65"/>
      <c r="I39" s="185"/>
      <c r="J39" s="185"/>
      <c r="K39" s="185"/>
      <c r="L39" s="186"/>
      <c r="M39" s="184"/>
      <c r="N39" s="183"/>
      <c r="O39" s="183"/>
      <c r="P39" s="183"/>
      <c r="Q39" s="183"/>
      <c r="R39" s="183"/>
      <c r="S39" s="183"/>
    </row>
    <row r="40" spans="1:28" ht="23">
      <c r="A40" s="16"/>
      <c r="B40" s="180"/>
      <c r="C40" s="214">
        <f t="shared" ref="C40:D40" si="19">C27</f>
        <v>0.1</v>
      </c>
      <c r="D40" s="96">
        <f t="shared" si="19"/>
        <v>254316.95549859107</v>
      </c>
      <c r="F40" s="97"/>
      <c r="G40" s="65"/>
      <c r="H40" s="65"/>
      <c r="I40" s="185"/>
      <c r="J40" s="185"/>
      <c r="K40" s="185"/>
      <c r="L40" s="186"/>
      <c r="M40" s="184"/>
      <c r="N40" s="183"/>
      <c r="O40" s="183"/>
      <c r="P40" s="183"/>
      <c r="Q40" s="183"/>
      <c r="R40" s="183"/>
      <c r="S40" s="183"/>
      <c r="W40" s="225" t="s">
        <v>259</v>
      </c>
      <c r="X40" s="225" t="s">
        <v>449</v>
      </c>
      <c r="Y40" t="s">
        <v>478</v>
      </c>
    </row>
    <row r="41" spans="1:28" ht="23">
      <c r="A41" s="16"/>
      <c r="B41" s="180"/>
      <c r="C41" s="214">
        <f t="shared" ref="C41:D41" si="20">C28</f>
        <v>0.11</v>
      </c>
      <c r="D41" s="96">
        <f t="shared" si="20"/>
        <v>-1182542.2885073721</v>
      </c>
      <c r="F41" s="97"/>
      <c r="G41" s="65"/>
      <c r="H41" s="65"/>
      <c r="I41" s="185"/>
      <c r="J41" s="185"/>
      <c r="K41" s="185"/>
      <c r="L41" s="186"/>
      <c r="M41" s="184"/>
      <c r="N41" s="183"/>
      <c r="O41" s="183"/>
      <c r="P41" s="183"/>
      <c r="Q41" s="183"/>
      <c r="R41" s="183"/>
      <c r="S41" s="183"/>
      <c r="W41" s="225">
        <v>1</v>
      </c>
      <c r="X41" s="90">
        <v>10800000</v>
      </c>
      <c r="Y41" s="229">
        <f>X41</f>
        <v>10800000</v>
      </c>
    </row>
    <row r="42" spans="1:28" ht="23">
      <c r="A42" s="16"/>
      <c r="B42" s="180"/>
      <c r="C42" s="214">
        <f t="shared" ref="C42:D42" si="21">C29</f>
        <v>0.12</v>
      </c>
      <c r="D42" s="96">
        <f t="shared" si="21"/>
        <v>-2557014.178894937</v>
      </c>
      <c r="F42" s="97"/>
      <c r="G42" s="65"/>
      <c r="H42" s="65"/>
      <c r="I42" s="185"/>
      <c r="J42" s="185"/>
      <c r="K42" s="185"/>
      <c r="L42" s="186"/>
      <c r="M42" s="184"/>
      <c r="N42" s="183"/>
      <c r="O42" s="183"/>
      <c r="P42" s="183"/>
      <c r="Q42" s="183"/>
      <c r="R42" s="183"/>
      <c r="S42" s="183"/>
      <c r="W42" s="90">
        <v>2</v>
      </c>
      <c r="X42" s="90">
        <v>10800000</v>
      </c>
      <c r="Y42" s="229">
        <f>Y41+X42</f>
        <v>21600000</v>
      </c>
      <c r="Z42">
        <v>4</v>
      </c>
      <c r="AA42" s="229">
        <f>X47-Y44</f>
        <v>6800000</v>
      </c>
    </row>
    <row r="43" spans="1:28" ht="23">
      <c r="A43" s="16"/>
      <c r="B43" s="180"/>
      <c r="C43" s="214">
        <f t="shared" ref="C43:D43" si="22">C30</f>
        <v>0.13</v>
      </c>
      <c r="D43" s="96">
        <f t="shared" si="22"/>
        <v>-3872503.3353470862</v>
      </c>
      <c r="F43" s="97"/>
      <c r="G43" s="65"/>
      <c r="H43" s="65"/>
      <c r="I43" s="185"/>
      <c r="J43" s="185"/>
      <c r="K43" s="185"/>
      <c r="L43" s="186"/>
      <c r="M43" s="184"/>
      <c r="N43" s="183"/>
      <c r="O43" s="183"/>
      <c r="P43" s="183"/>
      <c r="Q43" s="183"/>
      <c r="R43" s="183"/>
      <c r="S43" s="183"/>
      <c r="W43" s="90">
        <v>3</v>
      </c>
      <c r="X43" s="90">
        <v>10800000</v>
      </c>
      <c r="Y43" s="229">
        <f t="shared" ref="Y43:Y45" si="23">Y42+X43</f>
        <v>32400000</v>
      </c>
      <c r="Z43">
        <f>AA42/AA43</f>
        <v>0.26356589147286824</v>
      </c>
      <c r="AA43" s="229">
        <f>X45</f>
        <v>25800000</v>
      </c>
    </row>
    <row r="44" spans="1:28" ht="23">
      <c r="A44" s="16"/>
      <c r="B44" s="180"/>
      <c r="C44" s="214">
        <f t="shared" ref="C44:D44" si="24">C31</f>
        <v>0.14000000000000001</v>
      </c>
      <c r="D44" s="96">
        <f t="shared" si="24"/>
        <v>-5132195.570931375</v>
      </c>
      <c r="F44" s="97"/>
      <c r="G44" s="65"/>
      <c r="H44" s="65"/>
      <c r="I44" s="185"/>
      <c r="J44" s="185"/>
      <c r="K44" s="185"/>
      <c r="L44" s="186"/>
      <c r="M44" s="184"/>
      <c r="N44" s="183"/>
      <c r="O44" s="183"/>
      <c r="P44" s="183"/>
      <c r="Q44" s="183"/>
      <c r="R44" s="183"/>
      <c r="S44" s="183"/>
      <c r="W44" s="90">
        <v>4</v>
      </c>
      <c r="X44" s="90">
        <v>10800000</v>
      </c>
      <c r="Y44" s="229">
        <f t="shared" si="23"/>
        <v>43200000</v>
      </c>
    </row>
    <row r="45" spans="1:28" ht="23">
      <c r="A45" s="16"/>
      <c r="B45" s="180"/>
      <c r="C45" s="214"/>
      <c r="D45" s="96"/>
      <c r="F45" s="97"/>
      <c r="G45" s="65"/>
      <c r="H45" s="65"/>
      <c r="I45" s="185"/>
      <c r="J45" s="185"/>
      <c r="K45" s="185"/>
      <c r="L45" s="186"/>
      <c r="M45" s="184"/>
      <c r="N45" s="183"/>
      <c r="O45" s="183"/>
      <c r="P45" s="183"/>
      <c r="Q45" s="183"/>
      <c r="R45" s="183"/>
      <c r="S45" s="183"/>
      <c r="W45" s="90">
        <v>5</v>
      </c>
      <c r="X45" s="90">
        <v>25800000</v>
      </c>
      <c r="Y45" s="229">
        <f t="shared" si="23"/>
        <v>69000000</v>
      </c>
      <c r="Z45" s="230">
        <f>SUM(Z42:Z43)</f>
        <v>4.2635658914728687</v>
      </c>
    </row>
    <row r="46" spans="1:28" ht="23">
      <c r="A46" s="16"/>
      <c r="B46" s="180"/>
      <c r="C46" s="16"/>
      <c r="D46" s="96"/>
      <c r="F46" s="97"/>
      <c r="G46" s="65"/>
      <c r="H46" s="65"/>
      <c r="I46" s="185"/>
      <c r="J46" s="185"/>
      <c r="K46" s="185"/>
      <c r="L46" s="186"/>
      <c r="M46" s="184"/>
      <c r="N46" s="183"/>
      <c r="O46" s="183"/>
      <c r="P46" s="183"/>
      <c r="Q46" s="183"/>
      <c r="R46" s="183"/>
      <c r="S46" s="183"/>
    </row>
    <row r="47" spans="1:28" ht="23">
      <c r="A47" s="16"/>
      <c r="B47" s="180"/>
      <c r="C47" s="16"/>
      <c r="D47" s="96"/>
      <c r="F47" s="97"/>
      <c r="G47" s="65"/>
      <c r="H47" s="65"/>
      <c r="I47" s="185"/>
      <c r="J47" s="185"/>
      <c r="K47" s="185"/>
      <c r="L47" s="186"/>
      <c r="M47" s="184"/>
      <c r="N47" s="183"/>
      <c r="O47" s="183"/>
      <c r="P47" s="183"/>
      <c r="Q47" s="183"/>
      <c r="R47" s="183"/>
      <c r="S47" s="183"/>
      <c r="W47" s="182" t="s">
        <v>477</v>
      </c>
      <c r="X47" s="229">
        <v>50000000</v>
      </c>
    </row>
    <row r="48" spans="1:28" ht="23">
      <c r="A48" s="16"/>
      <c r="B48" s="180"/>
      <c r="C48" s="16"/>
      <c r="D48" s="96"/>
      <c r="F48" s="97"/>
      <c r="G48" s="65"/>
      <c r="H48" s="65"/>
      <c r="I48" s="185"/>
      <c r="J48" s="185"/>
      <c r="K48" s="185"/>
      <c r="L48" s="186"/>
      <c r="M48" s="184"/>
      <c r="N48" s="183"/>
      <c r="O48" s="183"/>
      <c r="P48" s="183"/>
      <c r="Q48" s="183"/>
      <c r="R48" s="183"/>
      <c r="S48" s="183"/>
    </row>
    <row r="49" spans="1:29" ht="23">
      <c r="A49" s="16"/>
      <c r="B49" s="180"/>
      <c r="C49" s="16"/>
      <c r="D49" s="96"/>
      <c r="F49" s="97"/>
      <c r="G49" s="65"/>
      <c r="H49" s="65"/>
      <c r="I49" s="185"/>
      <c r="J49" s="185"/>
      <c r="K49" s="185"/>
      <c r="L49" s="186"/>
      <c r="M49" s="184"/>
      <c r="N49" s="183"/>
      <c r="O49" s="183"/>
      <c r="P49" s="183"/>
      <c r="Q49" s="183"/>
      <c r="R49" s="183"/>
      <c r="S49" s="183"/>
      <c r="W49" s="182" t="s">
        <v>474</v>
      </c>
    </row>
    <row r="50" spans="1:29" ht="23">
      <c r="A50" s="16"/>
      <c r="B50" s="180"/>
      <c r="C50" s="16"/>
      <c r="D50" s="96"/>
      <c r="F50" s="97"/>
      <c r="G50" s="65"/>
      <c r="H50" s="65"/>
      <c r="I50" s="185"/>
      <c r="J50" s="185"/>
      <c r="K50" s="185"/>
      <c r="L50" s="186"/>
      <c r="M50" s="184"/>
      <c r="N50" s="183"/>
      <c r="O50" s="183"/>
      <c r="P50" s="183"/>
      <c r="Q50" s="183"/>
      <c r="R50" s="183"/>
      <c r="S50" s="183"/>
      <c r="W50" s="182" t="s">
        <v>416</v>
      </c>
      <c r="X50" s="182">
        <v>0</v>
      </c>
      <c r="Y50">
        <v>1</v>
      </c>
      <c r="Z50">
        <v>2</v>
      </c>
      <c r="AA50" s="182">
        <v>3</v>
      </c>
      <c r="AB50" s="182">
        <v>4</v>
      </c>
      <c r="AC50" s="182">
        <v>5</v>
      </c>
    </row>
    <row r="51" spans="1:29" ht="23">
      <c r="A51" s="16"/>
      <c r="B51" s="180"/>
      <c r="C51" s="16"/>
      <c r="D51" s="96"/>
      <c r="F51" s="97"/>
      <c r="G51" s="65"/>
      <c r="H51" s="65"/>
      <c r="I51" s="185"/>
      <c r="J51" s="185"/>
      <c r="K51" s="185"/>
      <c r="L51" s="186"/>
      <c r="M51" s="184"/>
      <c r="N51" s="183"/>
      <c r="O51" s="183"/>
      <c r="P51" s="183"/>
      <c r="Q51" s="183"/>
      <c r="R51" s="183"/>
      <c r="S51" s="183"/>
      <c r="W51" s="182" t="s">
        <v>450</v>
      </c>
      <c r="X51" s="225">
        <v>-50000000</v>
      </c>
      <c r="Y51" s="90">
        <v>9729729.7297297288</v>
      </c>
      <c r="Z51" s="90">
        <v>8765522.2790357899</v>
      </c>
      <c r="AA51" s="90">
        <v>7896866.9180502621</v>
      </c>
      <c r="AB51" s="90">
        <v>7114294.5207660012</v>
      </c>
      <c r="AC51" s="90">
        <v>15311044.263910811</v>
      </c>
    </row>
    <row r="52" spans="1:29" ht="23">
      <c r="A52" s="16"/>
      <c r="B52" s="180"/>
      <c r="C52" s="16"/>
      <c r="D52" s="96"/>
      <c r="F52" s="97"/>
      <c r="G52" s="65"/>
      <c r="H52" s="65"/>
      <c r="I52" s="185"/>
      <c r="J52" s="185"/>
      <c r="K52" s="185"/>
      <c r="L52" s="186"/>
      <c r="M52" s="184"/>
      <c r="N52" s="183"/>
      <c r="O52" s="183"/>
      <c r="P52" s="183"/>
      <c r="Q52" s="183"/>
      <c r="R52" s="183"/>
      <c r="S52" s="183"/>
    </row>
    <row r="53" spans="1:29" ht="23">
      <c r="A53" s="16"/>
      <c r="B53" s="180"/>
      <c r="C53" s="16"/>
      <c r="D53" s="96"/>
      <c r="F53" s="97"/>
      <c r="G53" s="65"/>
      <c r="H53" s="65"/>
      <c r="I53" s="185"/>
      <c r="J53" s="185"/>
      <c r="K53" s="185"/>
      <c r="L53" s="186"/>
      <c r="M53" s="184"/>
      <c r="N53" s="183"/>
      <c r="O53" s="183"/>
      <c r="P53" s="183"/>
      <c r="Q53" s="183"/>
      <c r="R53" s="183"/>
      <c r="S53" s="183"/>
      <c r="W53" s="182" t="s">
        <v>416</v>
      </c>
      <c r="X53" s="182" t="s">
        <v>450</v>
      </c>
      <c r="Y53" t="s">
        <v>481</v>
      </c>
    </row>
    <row r="54" spans="1:29" ht="23">
      <c r="A54" s="16"/>
      <c r="B54" s="180"/>
      <c r="C54" s="16"/>
      <c r="D54" s="96"/>
      <c r="F54" s="97"/>
      <c r="G54" s="65"/>
      <c r="H54" s="65"/>
      <c r="I54" s="185"/>
      <c r="J54" s="185"/>
      <c r="K54" s="185"/>
      <c r="L54" s="186"/>
      <c r="M54" s="184"/>
      <c r="N54" s="183"/>
      <c r="O54" s="183"/>
      <c r="P54" s="183"/>
      <c r="Q54" s="183"/>
      <c r="R54" s="183"/>
      <c r="S54" s="183"/>
      <c r="W54" s="182">
        <v>0</v>
      </c>
      <c r="X54" s="225">
        <v>-50000000</v>
      </c>
      <c r="Y54" s="229">
        <f>X54</f>
        <v>-50000000</v>
      </c>
    </row>
    <row r="55" spans="1:29" ht="23">
      <c r="A55" s="16"/>
      <c r="B55" s="180"/>
      <c r="C55" s="16"/>
      <c r="D55" s="96"/>
      <c r="F55" s="97"/>
      <c r="G55" s="65"/>
      <c r="H55" s="65"/>
      <c r="I55" s="185"/>
      <c r="J55" s="185"/>
      <c r="K55" s="185"/>
      <c r="L55" s="186"/>
      <c r="M55" s="184"/>
      <c r="N55" s="183"/>
      <c r="O55" s="183"/>
      <c r="P55" s="183"/>
      <c r="Q55" s="183"/>
      <c r="R55" s="183"/>
      <c r="S55" s="183"/>
      <c r="W55">
        <v>1</v>
      </c>
      <c r="X55" s="90">
        <v>9729729.7297297288</v>
      </c>
      <c r="Y55" s="229">
        <f>Y54+X55</f>
        <v>-40270270.270270273</v>
      </c>
    </row>
    <row r="56" spans="1:29" ht="23">
      <c r="A56" s="16"/>
      <c r="B56" s="180"/>
      <c r="C56" s="16"/>
      <c r="D56" s="96"/>
      <c r="F56" s="97"/>
      <c r="G56" s="65"/>
      <c r="H56" s="65"/>
      <c r="I56" s="185"/>
      <c r="J56" s="185"/>
      <c r="K56" s="185"/>
      <c r="L56" s="186"/>
      <c r="M56" s="184"/>
      <c r="N56" s="183"/>
      <c r="O56" s="183"/>
      <c r="P56" s="183"/>
      <c r="Q56" s="183"/>
      <c r="R56" s="183"/>
      <c r="S56" s="183"/>
      <c r="W56">
        <v>2</v>
      </c>
      <c r="X56" s="90">
        <v>8765522.2790357899</v>
      </c>
      <c r="Y56" s="229">
        <f t="shared" ref="Y56:Y59" si="25">Y55+X56</f>
        <v>-31504747.991234481</v>
      </c>
      <c r="AA56" t="s">
        <v>482</v>
      </c>
    </row>
    <row r="57" spans="1:29" ht="23">
      <c r="A57" s="16"/>
      <c r="B57" s="180"/>
      <c r="C57" s="16"/>
      <c r="D57" s="96"/>
      <c r="F57" s="97"/>
      <c r="G57" s="65"/>
      <c r="H57" s="65"/>
      <c r="I57" s="185"/>
      <c r="J57" s="185"/>
      <c r="K57" s="185"/>
      <c r="L57" s="186"/>
      <c r="M57" s="184"/>
      <c r="N57" s="183"/>
      <c r="O57" s="183"/>
      <c r="P57" s="183"/>
      <c r="Q57" s="183"/>
      <c r="R57" s="183"/>
      <c r="S57" s="183"/>
      <c r="W57" s="182">
        <v>3</v>
      </c>
      <c r="X57" s="90">
        <v>7896866.9180502621</v>
      </c>
      <c r="Y57" s="229">
        <f t="shared" si="25"/>
        <v>-23607881.073184218</v>
      </c>
    </row>
    <row r="58" spans="1:29" ht="23">
      <c r="A58" s="16"/>
      <c r="B58" s="180"/>
      <c r="C58" s="16"/>
      <c r="D58" s="96"/>
      <c r="F58" s="97"/>
      <c r="G58" s="65"/>
      <c r="H58" s="65"/>
      <c r="I58" s="185"/>
      <c r="J58" s="185"/>
      <c r="K58" s="185"/>
      <c r="L58" s="186"/>
      <c r="M58" s="184"/>
      <c r="N58" s="183"/>
      <c r="O58" s="183"/>
      <c r="P58" s="183"/>
      <c r="Q58" s="183"/>
      <c r="R58" s="183"/>
      <c r="S58" s="183"/>
      <c r="W58" s="182">
        <v>4</v>
      </c>
      <c r="X58" s="90">
        <v>7114294.5207660012</v>
      </c>
      <c r="Y58" s="229">
        <f t="shared" si="25"/>
        <v>-16493586.552418217</v>
      </c>
    </row>
    <row r="59" spans="1:29" ht="23">
      <c r="A59" s="16"/>
      <c r="B59" s="180"/>
      <c r="C59" s="16" t="s">
        <v>470</v>
      </c>
      <c r="D59" s="96"/>
      <c r="F59" s="97"/>
      <c r="G59" s="65"/>
      <c r="H59" s="65"/>
      <c r="I59" s="185"/>
      <c r="J59" s="185"/>
      <c r="K59" s="185"/>
      <c r="L59" s="186"/>
      <c r="M59" s="184"/>
      <c r="N59" s="183"/>
      <c r="O59" s="183"/>
      <c r="P59" s="183"/>
      <c r="Q59" s="183"/>
      <c r="R59" s="183"/>
      <c r="S59" s="183"/>
      <c r="W59" s="182">
        <v>5</v>
      </c>
      <c r="X59" s="90">
        <v>15311044.263910811</v>
      </c>
      <c r="Y59" s="229">
        <f t="shared" si="25"/>
        <v>-1182542.2885074057</v>
      </c>
    </row>
    <row r="60" spans="1:29" ht="20.5">
      <c r="A60" s="217" t="s">
        <v>89</v>
      </c>
      <c r="B60" s="218" t="str">
        <f t="shared" ref="B60:H60" si="26">B4</f>
        <v>Base</v>
      </c>
      <c r="C60" s="218" t="str">
        <f t="shared" si="26"/>
        <v xml:space="preserve">Initial capital outlay +7.5% </v>
      </c>
      <c r="D60" s="218" t="str">
        <f t="shared" si="26"/>
        <v>Selling price -7.5%</v>
      </c>
      <c r="E60" s="218" t="str">
        <f t="shared" si="26"/>
        <v>Variable cost+7.5%</v>
      </c>
      <c r="F60" s="218" t="str">
        <f t="shared" si="26"/>
        <v>Fixed costs+7.5%</v>
      </c>
      <c r="G60" s="218" t="str">
        <f t="shared" si="26"/>
        <v>units produced-7.5%</v>
      </c>
      <c r="H60" s="218" t="str">
        <f t="shared" si="26"/>
        <v>WACC +7.5%</v>
      </c>
      <c r="I60" s="185"/>
      <c r="J60" s="185"/>
      <c r="K60" s="185"/>
      <c r="L60" s="186"/>
      <c r="M60" s="184"/>
      <c r="N60" s="183"/>
      <c r="O60" s="183"/>
      <c r="P60" s="183"/>
      <c r="Q60" s="183"/>
      <c r="R60" s="183"/>
      <c r="S60" s="183"/>
    </row>
    <row r="61" spans="1:29" ht="20.5">
      <c r="A61" s="217" t="s">
        <v>420</v>
      </c>
      <c r="B61" s="219">
        <f>B23</f>
        <v>6702401.4771006182</v>
      </c>
      <c r="C61" s="219">
        <f t="shared" ref="C61:H61" si="27">C18</f>
        <v>-4932542.2885073721</v>
      </c>
      <c r="D61" s="219">
        <f t="shared" si="27"/>
        <v>-8555856.8387180641</v>
      </c>
      <c r="E61" s="219">
        <f t="shared" si="27"/>
        <v>-4869199.5636127144</v>
      </c>
      <c r="F61" s="219">
        <f t="shared" si="27"/>
        <v>-1875522.9793166518</v>
      </c>
      <c r="G61" s="219">
        <f t="shared" si="27"/>
        <v>-4869199.5636127144</v>
      </c>
      <c r="H61" s="219">
        <f t="shared" si="27"/>
        <v>-2320832.7579300329</v>
      </c>
      <c r="I61" s="185"/>
      <c r="J61" s="185"/>
      <c r="K61" s="185"/>
      <c r="L61" s="186"/>
      <c r="M61" s="184"/>
      <c r="N61" s="183"/>
      <c r="O61" s="183"/>
      <c r="P61" s="183"/>
      <c r="Q61" s="183"/>
      <c r="R61" s="183"/>
      <c r="S61" s="183"/>
      <c r="AA61" t="s">
        <v>420</v>
      </c>
    </row>
    <row r="62" spans="1:29" ht="23">
      <c r="A62" s="217" t="s">
        <v>471</v>
      </c>
      <c r="B62" s="218" t="s">
        <v>451</v>
      </c>
      <c r="C62" s="217" t="s">
        <v>451</v>
      </c>
      <c r="D62" s="220" t="s">
        <v>451</v>
      </c>
      <c r="E62" s="221" t="s">
        <v>451</v>
      </c>
      <c r="F62" s="222" t="s">
        <v>451</v>
      </c>
      <c r="G62" s="223" t="s">
        <v>451</v>
      </c>
      <c r="H62" s="223" t="s">
        <v>451</v>
      </c>
      <c r="I62" s="185"/>
      <c r="J62" s="185"/>
      <c r="K62" s="185"/>
      <c r="L62" s="186"/>
      <c r="M62" s="182" t="s">
        <v>457</v>
      </c>
      <c r="N62" s="183">
        <f>PV(B12,5,-10800000,0,0)</f>
        <v>39915687.790614247</v>
      </c>
      <c r="AA62" t="s">
        <v>468</v>
      </c>
      <c r="AB62" t="s">
        <v>484</v>
      </c>
    </row>
    <row r="63" spans="1:29" ht="23">
      <c r="A63" s="16"/>
      <c r="B63" s="20"/>
      <c r="C63" s="16"/>
      <c r="D63" s="96"/>
      <c r="F63" s="97"/>
      <c r="G63" s="65"/>
      <c r="H63" s="65"/>
      <c r="I63" s="185"/>
      <c r="J63" s="185"/>
      <c r="K63" s="185"/>
      <c r="L63" s="186"/>
      <c r="M63" s="182" t="s">
        <v>458</v>
      </c>
      <c r="N63" s="183">
        <f>NPV(B12,0,0,0,0,15000000)</f>
        <v>8901769.9208783787</v>
      </c>
      <c r="W63" s="182" t="s">
        <v>416</v>
      </c>
      <c r="X63" s="182" t="s">
        <v>450</v>
      </c>
      <c r="Y63" t="s">
        <v>487</v>
      </c>
      <c r="AA63" t="s">
        <v>472</v>
      </c>
    </row>
    <row r="64" spans="1:29" ht="23">
      <c r="A64" s="14" t="s">
        <v>67</v>
      </c>
      <c r="B64" s="20"/>
      <c r="C64" s="98"/>
      <c r="D64" s="96"/>
      <c r="F64" s="97"/>
      <c r="G64" s="65"/>
      <c r="H64" s="65"/>
      <c r="I64" s="185"/>
      <c r="J64" s="185"/>
      <c r="K64" s="185"/>
      <c r="L64" s="186"/>
      <c r="M64" s="182" t="s">
        <v>454</v>
      </c>
      <c r="N64" s="194">
        <f>SUM(N62:N63)</f>
        <v>48817457.711492628</v>
      </c>
      <c r="W64">
        <v>1</v>
      </c>
      <c r="X64" s="90">
        <v>9729729.7297297288</v>
      </c>
      <c r="Y64" s="229">
        <f>X64</f>
        <v>9729729.7297297288</v>
      </c>
      <c r="AA64" t="s">
        <v>473</v>
      </c>
    </row>
    <row r="65" spans="1:27" ht="20.5">
      <c r="A65" s="193" t="s">
        <v>280</v>
      </c>
      <c r="B65" s="193"/>
      <c r="C65" s="193"/>
      <c r="D65" s="193"/>
      <c r="E65" s="193"/>
      <c r="F65" s="188"/>
      <c r="G65" s="188"/>
      <c r="H65" s="188"/>
      <c r="I65" s="188"/>
      <c r="J65" s="188"/>
      <c r="K65" s="188"/>
      <c r="L65" s="189"/>
      <c r="W65">
        <v>2</v>
      </c>
      <c r="X65" s="90">
        <v>8765522.2790357899</v>
      </c>
      <c r="Y65" s="229">
        <f>Y64+X65</f>
        <v>18495252.008765519</v>
      </c>
      <c r="AA65" t="s">
        <v>483</v>
      </c>
    </row>
    <row r="66" spans="1:27" ht="20.5">
      <c r="A66" s="193" t="s">
        <v>281</v>
      </c>
      <c r="B66" s="193"/>
      <c r="C66" s="193"/>
      <c r="D66" s="193"/>
      <c r="E66" s="193"/>
      <c r="F66" s="189"/>
      <c r="G66" s="189"/>
      <c r="H66" s="189"/>
      <c r="I66" s="189"/>
      <c r="J66" s="189"/>
      <c r="K66" s="189"/>
      <c r="L66" s="189"/>
      <c r="M66" s="182" t="s">
        <v>420</v>
      </c>
      <c r="N66" s="194">
        <f>N64+N13</f>
        <v>-1182542.2885073721</v>
      </c>
      <c r="O66" s="182" t="s">
        <v>451</v>
      </c>
      <c r="W66" s="182">
        <v>3</v>
      </c>
      <c r="X66" s="90">
        <v>7896866.9180502621</v>
      </c>
      <c r="Y66" s="229">
        <f t="shared" ref="Y66:Y68" si="28">Y65+X66</f>
        <v>26392118.926815782</v>
      </c>
    </row>
    <row r="67" spans="1:27" ht="20.5">
      <c r="A67" s="193" t="s">
        <v>282</v>
      </c>
      <c r="B67" s="193"/>
      <c r="C67" s="195"/>
      <c r="D67" s="193"/>
      <c r="E67" s="193"/>
      <c r="F67" s="189"/>
      <c r="G67" s="189"/>
      <c r="H67" s="189"/>
      <c r="I67" s="189"/>
      <c r="J67" s="189"/>
      <c r="K67" s="189"/>
      <c r="L67" s="189"/>
      <c r="W67" s="182">
        <v>4</v>
      </c>
      <c r="X67" s="90">
        <v>7114294.5207660012</v>
      </c>
      <c r="Y67" s="229">
        <f t="shared" si="28"/>
        <v>33506413.447581783</v>
      </c>
    </row>
    <row r="68" spans="1:27" s="182" customFormat="1" ht="20.5">
      <c r="A68" s="193" t="s">
        <v>283</v>
      </c>
      <c r="B68" s="193"/>
      <c r="C68" s="193"/>
      <c r="D68" s="193"/>
      <c r="E68" s="193" t="s">
        <v>376</v>
      </c>
      <c r="F68" s="193" t="str">
        <f t="shared" ref="F68:J68" si="29">B4</f>
        <v>Base</v>
      </c>
      <c r="G68" s="193" t="str">
        <f t="shared" si="29"/>
        <v xml:space="preserve">Initial capital outlay +7.5% </v>
      </c>
      <c r="H68" s="193" t="str">
        <f t="shared" si="29"/>
        <v>Selling price -7.5%</v>
      </c>
      <c r="I68" s="193" t="str">
        <f t="shared" si="29"/>
        <v>Variable cost+7.5%</v>
      </c>
      <c r="J68" s="193" t="str">
        <f t="shared" si="29"/>
        <v>Fixed costs+7.5%</v>
      </c>
      <c r="K68" s="193" t="str">
        <f>G4</f>
        <v>units produced-7.5%</v>
      </c>
      <c r="L68" s="193" t="str">
        <f>H4</f>
        <v>WACC +7.5%</v>
      </c>
      <c r="W68" s="182">
        <v>5</v>
      </c>
      <c r="X68" s="90">
        <v>15311044.263910811</v>
      </c>
      <c r="Y68" s="229">
        <f t="shared" si="28"/>
        <v>48817457.711492598</v>
      </c>
    </row>
    <row r="69" spans="1:27" s="179" customFormat="1" ht="20.5">
      <c r="A69" s="193"/>
      <c r="B69" s="193"/>
      <c r="C69" s="193"/>
      <c r="D69" s="193"/>
      <c r="E69" s="193" t="s">
        <v>420</v>
      </c>
      <c r="F69" s="211">
        <f>B23</f>
        <v>6702401.4771006182</v>
      </c>
      <c r="G69" s="211">
        <f t="shared" ref="G69:L69" si="30">C18</f>
        <v>-4932542.2885073721</v>
      </c>
      <c r="H69" s="211">
        <f t="shared" si="30"/>
        <v>-8555856.8387180641</v>
      </c>
      <c r="I69" s="211">
        <f t="shared" si="30"/>
        <v>-4869199.5636127144</v>
      </c>
      <c r="J69" s="211">
        <f t="shared" si="30"/>
        <v>-1875522.9793166518</v>
      </c>
      <c r="K69" s="211">
        <f t="shared" si="30"/>
        <v>-4869199.5636127144</v>
      </c>
      <c r="L69" s="211">
        <f t="shared" si="30"/>
        <v>-2320832.7579300329</v>
      </c>
      <c r="T69" s="182"/>
      <c r="U69" s="182"/>
      <c r="V69" s="182"/>
    </row>
    <row r="70" spans="1:27" s="182" customFormat="1" ht="20.5">
      <c r="A70" s="193" t="s">
        <v>284</v>
      </c>
      <c r="B70" s="193"/>
      <c r="C70" s="193"/>
      <c r="D70" s="193"/>
      <c r="E70" s="193"/>
      <c r="F70" s="190"/>
      <c r="G70" s="190"/>
      <c r="H70" s="190"/>
      <c r="I70" s="190"/>
      <c r="J70" s="190"/>
      <c r="K70" s="190"/>
      <c r="L70" s="190"/>
      <c r="W70" s="182" t="s">
        <v>477</v>
      </c>
      <c r="X70" s="90">
        <v>50000000</v>
      </c>
    </row>
    <row r="71" spans="1:27" s="179" customFormat="1" ht="20.5">
      <c r="A71" s="193"/>
      <c r="B71" s="193"/>
      <c r="C71" s="193"/>
      <c r="D71" s="193"/>
      <c r="E71" s="193"/>
      <c r="F71" s="190"/>
      <c r="G71" s="190"/>
      <c r="H71" s="190"/>
      <c r="I71" s="190"/>
      <c r="J71" s="190"/>
      <c r="K71" s="190"/>
      <c r="L71" s="190"/>
      <c r="T71" s="182"/>
      <c r="U71" s="182"/>
      <c r="V71" s="182"/>
      <c r="W71" s="182"/>
      <c r="X71" s="182"/>
    </row>
    <row r="72" spans="1:27" s="179" customFormat="1" ht="20.5">
      <c r="A72" s="193"/>
      <c r="B72" s="193"/>
      <c r="C72" s="193"/>
      <c r="D72" s="193"/>
      <c r="E72" s="193"/>
      <c r="F72" s="190"/>
      <c r="G72" s="190"/>
      <c r="H72" s="190"/>
      <c r="I72" s="190"/>
      <c r="J72" s="190"/>
      <c r="K72" s="190"/>
      <c r="L72" s="190"/>
      <c r="T72" s="182"/>
      <c r="U72" s="182"/>
      <c r="V72" s="182"/>
      <c r="W72" s="182"/>
      <c r="X72" s="182"/>
    </row>
    <row r="73" spans="1:27" s="179" customFormat="1" ht="20.5">
      <c r="A73" s="193"/>
      <c r="B73" s="193"/>
      <c r="C73" s="193"/>
      <c r="D73" s="193"/>
      <c r="E73" s="193"/>
      <c r="F73" s="190"/>
      <c r="G73" s="190"/>
      <c r="H73" s="190"/>
      <c r="I73" s="190"/>
      <c r="J73" s="190"/>
      <c r="K73" s="190"/>
      <c r="L73" s="190"/>
      <c r="T73" s="182"/>
      <c r="U73" s="182"/>
      <c r="V73" s="182"/>
      <c r="W73" s="182"/>
      <c r="X73" s="182"/>
    </row>
    <row r="74" spans="1:27" ht="15.5">
      <c r="A74" s="196"/>
      <c r="B74" s="181"/>
      <c r="C74" s="181"/>
      <c r="D74" s="181"/>
      <c r="E74" s="181"/>
      <c r="F74" s="181"/>
      <c r="G74" s="181"/>
      <c r="H74" s="181"/>
      <c r="I74" s="181"/>
      <c r="J74" s="181"/>
      <c r="K74" s="181"/>
      <c r="L74" s="181"/>
    </row>
    <row r="75" spans="1:27" ht="20">
      <c r="A75" s="99" t="s">
        <v>56</v>
      </c>
      <c r="B75" s="1"/>
      <c r="C75" s="1"/>
      <c r="D75" s="1"/>
      <c r="E75" s="1"/>
      <c r="F75" s="1"/>
      <c r="G75" s="1"/>
      <c r="H75" s="1"/>
      <c r="I75" s="181"/>
      <c r="J75" s="181"/>
      <c r="K75" s="181"/>
      <c r="L75" s="181"/>
    </row>
    <row r="76" spans="1:27" ht="20.5">
      <c r="A76" s="95" t="s">
        <v>285</v>
      </c>
      <c r="B76" s="95"/>
      <c r="C76" s="95"/>
      <c r="E76" s="1"/>
      <c r="F76" s="1"/>
      <c r="G76" s="1"/>
      <c r="H76" s="1"/>
      <c r="I76" s="181"/>
      <c r="J76" s="181"/>
      <c r="K76" s="181"/>
      <c r="L76" s="181"/>
    </row>
    <row r="77" spans="1:27" ht="20.5">
      <c r="A77" s="95"/>
      <c r="B77" s="95"/>
      <c r="C77" s="95"/>
      <c r="D77" s="95"/>
      <c r="E77" s="1"/>
      <c r="F77" s="1"/>
      <c r="G77" s="1"/>
      <c r="H77" s="1"/>
      <c r="I77" s="181"/>
      <c r="J77" s="181"/>
      <c r="K77" s="181"/>
      <c r="L77" s="181"/>
    </row>
    <row r="78" spans="1:27" ht="20.5">
      <c r="A78" s="95" t="s">
        <v>286</v>
      </c>
      <c r="B78" s="95"/>
      <c r="C78" s="95"/>
      <c r="E78" s="1"/>
      <c r="F78" s="1"/>
      <c r="G78" s="1"/>
      <c r="H78" s="1"/>
      <c r="I78" s="181"/>
      <c r="J78" s="181"/>
      <c r="K78" s="181"/>
      <c r="L78" s="181"/>
    </row>
    <row r="79" spans="1:27" ht="20.5">
      <c r="A79" s="95"/>
      <c r="B79" s="95"/>
      <c r="C79" s="95"/>
      <c r="D79" s="95"/>
      <c r="E79" s="1"/>
      <c r="F79" s="1"/>
      <c r="G79" s="1"/>
      <c r="H79" s="1"/>
      <c r="I79" s="181"/>
      <c r="J79" s="181"/>
      <c r="K79" s="181"/>
      <c r="L79" s="181"/>
    </row>
    <row r="80" spans="1:27" ht="20.5">
      <c r="A80" s="95" t="s">
        <v>287</v>
      </c>
      <c r="B80" s="95"/>
      <c r="C80" s="95"/>
      <c r="E80" s="1"/>
      <c r="F80" s="1"/>
      <c r="G80" s="1"/>
      <c r="H80" s="1"/>
      <c r="I80" s="181"/>
      <c r="J80" s="181"/>
      <c r="K80" s="181"/>
      <c r="L80" s="181"/>
    </row>
    <row r="81" spans="1:13" ht="20.5">
      <c r="A81" s="95"/>
      <c r="B81" s="95"/>
      <c r="C81" s="95"/>
      <c r="D81" s="95"/>
      <c r="E81" s="1"/>
      <c r="F81" s="1"/>
      <c r="G81" s="1"/>
      <c r="H81" s="1"/>
      <c r="I81" s="181"/>
      <c r="J81" s="181"/>
      <c r="K81" s="181"/>
      <c r="L81" s="181"/>
    </row>
    <row r="82" spans="1:13" ht="20.5">
      <c r="A82" s="95" t="s">
        <v>288</v>
      </c>
      <c r="B82" s="95"/>
      <c r="C82" s="95"/>
      <c r="E82" s="1"/>
      <c r="F82" s="1"/>
      <c r="G82" s="1"/>
      <c r="H82" s="1"/>
      <c r="I82" s="181"/>
      <c r="J82" s="181"/>
      <c r="K82" s="181"/>
      <c r="L82" s="181"/>
    </row>
    <row r="83" spans="1:13" ht="20.5">
      <c r="A83" s="95"/>
      <c r="B83" s="95"/>
      <c r="C83" s="95"/>
      <c r="D83" s="95"/>
      <c r="E83" s="1"/>
      <c r="F83" s="1"/>
      <c r="G83" s="1"/>
      <c r="H83" s="1"/>
      <c r="I83" s="181"/>
      <c r="J83" s="181"/>
      <c r="K83" s="181"/>
      <c r="L83" s="181"/>
    </row>
    <row r="84" spans="1:13" ht="20.5">
      <c r="A84" s="1"/>
      <c r="B84" s="1"/>
      <c r="C84" s="85"/>
      <c r="D84" s="85"/>
      <c r="E84" s="1"/>
      <c r="F84" s="1"/>
      <c r="G84" s="1"/>
      <c r="H84" s="1"/>
      <c r="I84" s="181"/>
      <c r="J84" s="181"/>
      <c r="K84" s="181"/>
      <c r="L84" s="181"/>
      <c r="M84" s="191" t="s">
        <v>26</v>
      </c>
    </row>
    <row r="85" spans="1:13" ht="15.5">
      <c r="A85" s="1"/>
      <c r="B85" s="1"/>
      <c r="C85" s="1"/>
      <c r="D85" s="1"/>
      <c r="E85" s="1"/>
      <c r="F85" s="1"/>
      <c r="G85" s="1"/>
      <c r="H85" s="1"/>
      <c r="I85" s="181"/>
      <c r="J85" s="181"/>
      <c r="K85" s="181"/>
      <c r="M85" s="181"/>
    </row>
    <row r="86" spans="1:13" ht="20.5">
      <c r="A86" s="1"/>
      <c r="B86" s="1"/>
      <c r="C86" s="1"/>
      <c r="D86" s="1"/>
      <c r="E86" s="1"/>
      <c r="F86" s="1"/>
      <c r="G86" s="1"/>
      <c r="H86" s="1"/>
      <c r="I86" s="181"/>
      <c r="J86" s="181"/>
      <c r="K86" s="181"/>
      <c r="L86" s="181"/>
      <c r="M86" s="191" t="s">
        <v>26</v>
      </c>
    </row>
    <row r="87" spans="1:13" ht="15.5">
      <c r="M87" s="181"/>
    </row>
    <row r="88" spans="1:13" ht="20.5">
      <c r="M88" s="191" t="s">
        <v>26</v>
      </c>
    </row>
    <row r="89" spans="1:13" ht="15.5">
      <c r="M89" s="181"/>
    </row>
    <row r="90" spans="1:13" ht="20.5">
      <c r="M90" s="191" t="s">
        <v>26</v>
      </c>
    </row>
    <row r="93" spans="1:13" ht="20">
      <c r="M93" s="192" t="s">
        <v>157</v>
      </c>
    </row>
    <row r="94" spans="1:13" ht="15.5">
      <c r="M94" s="181"/>
    </row>
  </sheetData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0EF52-6034-41EB-A662-C3D0248B2E36}">
  <dimension ref="A1:M50"/>
  <sheetViews>
    <sheetView workbookViewId="0">
      <selection activeCell="F9" sqref="F9"/>
    </sheetView>
  </sheetViews>
  <sheetFormatPr defaultRowHeight="14.5"/>
  <sheetData>
    <row r="1" spans="1:13" ht="20">
      <c r="A1" s="116" t="s">
        <v>289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1:13" ht="20.5">
      <c r="A2" s="100"/>
      <c r="B2" s="100"/>
      <c r="C2" s="100"/>
      <c r="D2" s="100"/>
      <c r="E2" s="101"/>
      <c r="F2" s="100"/>
      <c r="G2" s="100"/>
      <c r="H2" s="100"/>
      <c r="I2" s="100"/>
      <c r="J2" s="102"/>
      <c r="K2" s="102"/>
      <c r="L2" s="102"/>
      <c r="M2" s="102"/>
    </row>
    <row r="3" spans="1:13" ht="20.5">
      <c r="A3" s="101" t="s">
        <v>290</v>
      </c>
      <c r="B3" s="103"/>
      <c r="C3" s="103"/>
      <c r="D3" s="101"/>
      <c r="E3" s="103"/>
      <c r="F3" s="103"/>
      <c r="G3" s="103"/>
      <c r="H3" s="103"/>
      <c r="I3" s="103"/>
      <c r="J3" s="102"/>
      <c r="K3" s="102"/>
      <c r="L3" s="102"/>
      <c r="M3" s="102"/>
    </row>
    <row r="4" spans="1:13" ht="20.5">
      <c r="A4" s="101"/>
      <c r="B4" s="103"/>
      <c r="C4" s="103"/>
      <c r="D4" s="101"/>
      <c r="E4" s="103"/>
      <c r="F4" s="103"/>
      <c r="G4" s="103"/>
      <c r="H4" s="103"/>
      <c r="I4" s="103"/>
      <c r="J4" s="102"/>
      <c r="K4" s="102"/>
      <c r="L4" s="102"/>
      <c r="M4" s="102"/>
    </row>
    <row r="5" spans="1:13" ht="20.5">
      <c r="A5" s="101" t="s">
        <v>291</v>
      </c>
      <c r="B5" s="103"/>
      <c r="C5" s="103"/>
      <c r="D5" s="101"/>
      <c r="E5" s="103"/>
      <c r="F5" s="103"/>
      <c r="G5" s="103"/>
      <c r="H5" s="103"/>
      <c r="I5" s="103"/>
      <c r="J5" s="102"/>
      <c r="K5" s="102"/>
      <c r="L5" s="102"/>
      <c r="M5" s="102"/>
    </row>
    <row r="6" spans="1:13" ht="20.5">
      <c r="A6" s="104"/>
      <c r="B6" s="102"/>
      <c r="C6" s="102"/>
      <c r="D6" s="104"/>
      <c r="E6" s="102"/>
      <c r="F6" s="102"/>
      <c r="G6" s="102"/>
      <c r="H6" s="102"/>
      <c r="I6" s="102"/>
      <c r="J6" s="102"/>
      <c r="K6" s="102"/>
      <c r="L6" s="102"/>
      <c r="M6" s="102"/>
    </row>
    <row r="7" spans="1:13" ht="15.5">
      <c r="A7" s="105" t="s">
        <v>292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</row>
    <row r="8" spans="1:13" ht="15.5">
      <c r="A8" s="105" t="s">
        <v>293</v>
      </c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</row>
    <row r="9" spans="1:13" ht="15.5">
      <c r="A9" s="105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</row>
    <row r="10" spans="1:13" ht="15.5">
      <c r="A10" s="22" t="s">
        <v>294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</row>
    <row r="11" spans="1:13" ht="15.5">
      <c r="A11" s="105" t="s">
        <v>57</v>
      </c>
      <c r="B11" s="106" t="s">
        <v>295</v>
      </c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</row>
    <row r="12" spans="1:13" ht="15.5">
      <c r="A12" s="105" t="s">
        <v>60</v>
      </c>
      <c r="B12" s="106" t="s">
        <v>296</v>
      </c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</row>
    <row r="13" spans="1:13" ht="15.5">
      <c r="A13" s="105" t="s">
        <v>297</v>
      </c>
      <c r="B13" s="106" t="s">
        <v>298</v>
      </c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</row>
    <row r="14" spans="1:13" ht="15.5">
      <c r="A14" s="105" t="s">
        <v>299</v>
      </c>
      <c r="B14" s="106" t="s">
        <v>300</v>
      </c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</row>
    <row r="15" spans="1:13" ht="15.5">
      <c r="A15" s="105" t="s">
        <v>301</v>
      </c>
      <c r="B15" s="106" t="s">
        <v>302</v>
      </c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</row>
    <row r="16" spans="1:13" ht="15.5">
      <c r="A16" s="105"/>
      <c r="B16" s="107" t="s">
        <v>303</v>
      </c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</row>
    <row r="17" spans="1:13" ht="15.5">
      <c r="A17" s="105"/>
      <c r="B17" s="107" t="s">
        <v>304</v>
      </c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</row>
    <row r="18" spans="1:13" ht="15.5">
      <c r="A18" s="105"/>
      <c r="B18" s="107" t="s">
        <v>305</v>
      </c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</row>
    <row r="19" spans="1:13" ht="15.5">
      <c r="A19" s="105" t="s">
        <v>306</v>
      </c>
      <c r="B19" s="108" t="s">
        <v>307</v>
      </c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</row>
    <row r="20" spans="1:13" ht="15.5">
      <c r="A20" s="105" t="s">
        <v>308</v>
      </c>
      <c r="B20" s="108" t="s">
        <v>309</v>
      </c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</row>
    <row r="21" spans="1:13" ht="15.5">
      <c r="A21" s="109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</row>
    <row r="22" spans="1:13" ht="15.5">
      <c r="A22" s="22" t="s">
        <v>310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</row>
    <row r="23" spans="1:13" ht="15.5">
      <c r="A23" s="110" t="s">
        <v>311</v>
      </c>
      <c r="B23" s="106" t="s">
        <v>312</v>
      </c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</row>
    <row r="24" spans="1:13" ht="15.5">
      <c r="A24" s="110" t="s">
        <v>313</v>
      </c>
      <c r="B24" s="106" t="s">
        <v>314</v>
      </c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</row>
    <row r="25" spans="1:13" ht="15.5">
      <c r="A25" s="110" t="s">
        <v>315</v>
      </c>
      <c r="B25" s="106" t="s">
        <v>316</v>
      </c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</row>
    <row r="26" spans="1:13" ht="15.5">
      <c r="A26" s="110" t="s">
        <v>317</v>
      </c>
      <c r="B26" s="106" t="s">
        <v>318</v>
      </c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</row>
    <row r="27" spans="1:13" ht="15.5">
      <c r="A27" s="110" t="s">
        <v>319</v>
      </c>
      <c r="B27" s="106" t="s">
        <v>320</v>
      </c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</row>
    <row r="28" spans="1:13" ht="15.5">
      <c r="A28" s="110" t="s">
        <v>321</v>
      </c>
      <c r="B28" s="106" t="s">
        <v>322</v>
      </c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</row>
    <row r="29" spans="1:13" ht="15.5">
      <c r="A29" s="110"/>
      <c r="B29" s="107" t="s">
        <v>323</v>
      </c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</row>
    <row r="30" spans="1:13" ht="15.5">
      <c r="A30" s="110"/>
      <c r="B30" s="107" t="s">
        <v>324</v>
      </c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</row>
    <row r="31" spans="1:13" ht="15.5">
      <c r="A31" s="110" t="s">
        <v>325</v>
      </c>
      <c r="B31" s="106" t="s">
        <v>326</v>
      </c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</row>
    <row r="32" spans="1:13" ht="15.5">
      <c r="A32" s="111"/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</row>
    <row r="33" spans="1:13" ht="15.5">
      <c r="A33" s="22" t="s">
        <v>327</v>
      </c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</row>
    <row r="34" spans="1:13" ht="15.5">
      <c r="A34" s="112" t="s">
        <v>328</v>
      </c>
      <c r="B34" s="106" t="s">
        <v>329</v>
      </c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</row>
    <row r="35" spans="1:13" ht="15.5">
      <c r="A35" s="112" t="s">
        <v>328</v>
      </c>
      <c r="B35" s="106" t="s">
        <v>330</v>
      </c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</row>
    <row r="36" spans="1:13" ht="15.5">
      <c r="A36" s="112" t="s">
        <v>328</v>
      </c>
      <c r="B36" s="106" t="s">
        <v>331</v>
      </c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</row>
    <row r="37" spans="1:13" ht="15.5">
      <c r="A37" s="106"/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</row>
    <row r="38" spans="1:13" ht="15.5">
      <c r="A38" s="22" t="s">
        <v>56</v>
      </c>
      <c r="B38" s="106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</row>
    <row r="39" spans="1:13" ht="15.5">
      <c r="A39" s="105" t="s">
        <v>28</v>
      </c>
      <c r="B39" s="106" t="s">
        <v>332</v>
      </c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</row>
    <row r="40" spans="1:13" ht="15.5">
      <c r="A40" s="22"/>
      <c r="B40" s="106" t="s">
        <v>333</v>
      </c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14" t="s">
        <v>334</v>
      </c>
    </row>
    <row r="41" spans="1:13" ht="15.5">
      <c r="A41" s="22"/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14"/>
    </row>
    <row r="42" spans="1:13" ht="15.5">
      <c r="A42" s="105" t="s">
        <v>335</v>
      </c>
      <c r="B42" s="106" t="s">
        <v>336</v>
      </c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14" t="s">
        <v>334</v>
      </c>
    </row>
    <row r="43" spans="1:13" ht="15.5">
      <c r="A43" s="105"/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14"/>
    </row>
    <row r="44" spans="1:13" ht="15.5">
      <c r="A44" s="105" t="s">
        <v>337</v>
      </c>
      <c r="B44" s="106" t="s">
        <v>338</v>
      </c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14"/>
    </row>
    <row r="45" spans="1:13" ht="15.5">
      <c r="A45" s="105"/>
      <c r="B45" s="106" t="s">
        <v>339</v>
      </c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14" t="s">
        <v>334</v>
      </c>
    </row>
    <row r="46" spans="1:13" ht="15.5">
      <c r="A46" s="105"/>
      <c r="B46" s="106"/>
      <c r="C46" s="106"/>
      <c r="D46" s="106"/>
      <c r="E46" s="106"/>
      <c r="F46" s="106"/>
      <c r="G46" s="106"/>
      <c r="H46" s="106"/>
      <c r="I46" s="106"/>
      <c r="J46" s="106"/>
      <c r="K46" s="106"/>
      <c r="L46" s="115"/>
      <c r="M46" s="115" t="s">
        <v>228</v>
      </c>
    </row>
    <row r="47" spans="1:13" ht="15.5">
      <c r="A47" s="106"/>
      <c r="B47" s="106"/>
      <c r="C47" s="106"/>
      <c r="D47" s="106"/>
      <c r="E47" s="106"/>
      <c r="F47" s="106"/>
      <c r="G47" s="106"/>
      <c r="H47" s="106"/>
      <c r="I47" s="106"/>
      <c r="J47" s="100"/>
      <c r="K47" s="106"/>
      <c r="L47" s="113"/>
      <c r="M47" s="114"/>
    </row>
    <row r="48" spans="1:13" ht="20.5">
      <c r="A48" s="102"/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</row>
    <row r="49" spans="1:13" ht="20.5">
      <c r="A49" s="102"/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</row>
    <row r="50" spans="1:13" ht="20.5">
      <c r="A50" s="102"/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A579D-B2CE-4150-8277-4B79F9F5BB9D}">
  <sheetPr>
    <outlinePr summaryBelow="0"/>
  </sheetPr>
  <dimension ref="B1:K11"/>
  <sheetViews>
    <sheetView showGridLines="0" workbookViewId="0">
      <selection activeCell="C6" sqref="C6:K8"/>
    </sheetView>
  </sheetViews>
  <sheetFormatPr defaultRowHeight="14.5" outlineLevelRow="1" outlineLevelCol="1"/>
  <cols>
    <col min="3" max="3" width="14.6328125" bestFit="1" customWidth="1"/>
    <col min="4" max="11" width="12.54296875" bestFit="1" customWidth="1" outlineLevel="1"/>
  </cols>
  <sheetData>
    <row r="1" spans="2:11" ht="15" thickBot="1"/>
    <row r="2" spans="2:11" ht="15.5">
      <c r="B2" s="171" t="s">
        <v>368</v>
      </c>
      <c r="C2" s="171"/>
      <c r="D2" s="136"/>
      <c r="E2" s="136"/>
      <c r="F2" s="136"/>
      <c r="G2" s="136"/>
      <c r="H2" s="136"/>
      <c r="I2" s="136"/>
      <c r="J2" s="136"/>
      <c r="K2" s="136"/>
    </row>
    <row r="3" spans="2:11" ht="15.5" collapsed="1">
      <c r="B3" s="170"/>
      <c r="C3" s="170"/>
      <c r="D3" s="137" t="s">
        <v>369</v>
      </c>
      <c r="E3" s="137" t="s">
        <v>363</v>
      </c>
      <c r="F3" s="137" t="s">
        <v>423</v>
      </c>
      <c r="G3" s="137" t="s">
        <v>424</v>
      </c>
      <c r="H3" s="137" t="s">
        <v>426</v>
      </c>
      <c r="I3" s="137" t="s">
        <v>427</v>
      </c>
      <c r="J3" s="137" t="s">
        <v>428</v>
      </c>
      <c r="K3" s="137" t="s">
        <v>429</v>
      </c>
    </row>
    <row r="4" spans="2:11" ht="42" hidden="1" outlineLevel="1">
      <c r="B4" s="172"/>
      <c r="C4" s="172"/>
      <c r="D4" s="127"/>
      <c r="E4" s="140" t="s">
        <v>422</v>
      </c>
      <c r="F4" s="140" t="s">
        <v>422</v>
      </c>
      <c r="G4" s="140" t="s">
        <v>425</v>
      </c>
      <c r="H4" s="140" t="s">
        <v>422</v>
      </c>
      <c r="I4" s="140" t="s">
        <v>422</v>
      </c>
      <c r="J4" s="140" t="s">
        <v>422</v>
      </c>
      <c r="K4" s="140" t="s">
        <v>422</v>
      </c>
    </row>
    <row r="5" spans="2:11">
      <c r="B5" s="173" t="s">
        <v>430</v>
      </c>
      <c r="C5" s="173"/>
      <c r="D5" s="132"/>
      <c r="E5" s="132"/>
      <c r="F5" s="132"/>
      <c r="G5" s="132"/>
      <c r="H5" s="132"/>
      <c r="I5" s="132"/>
      <c r="J5" s="132"/>
      <c r="K5" s="132"/>
    </row>
    <row r="6" spans="2:11" outlineLevel="1">
      <c r="B6" s="172"/>
      <c r="C6" s="172" t="s">
        <v>419</v>
      </c>
      <c r="D6" s="128">
        <v>0.15</v>
      </c>
      <c r="E6" s="138">
        <v>0.15</v>
      </c>
      <c r="F6" s="138">
        <v>0.1</v>
      </c>
      <c r="G6" s="138">
        <v>0.11</v>
      </c>
      <c r="H6" s="138">
        <v>0.12</v>
      </c>
      <c r="I6" s="138">
        <v>0.13</v>
      </c>
      <c r="J6" s="138">
        <v>0.14000000000000001</v>
      </c>
      <c r="K6" s="138">
        <v>0.15</v>
      </c>
    </row>
    <row r="7" spans="2:11">
      <c r="B7" s="173" t="s">
        <v>370</v>
      </c>
      <c r="C7" s="173"/>
      <c r="D7" s="132"/>
      <c r="E7" s="132"/>
      <c r="F7" s="132"/>
      <c r="G7" s="132"/>
      <c r="H7" s="132"/>
      <c r="I7" s="132"/>
      <c r="J7" s="132"/>
      <c r="K7" s="132"/>
    </row>
    <row r="8" spans="2:11" ht="15" outlineLevel="1" thickBot="1">
      <c r="B8" s="174"/>
      <c r="C8" s="174" t="s">
        <v>420</v>
      </c>
      <c r="D8" s="129">
        <v>0</v>
      </c>
      <c r="E8" s="129">
        <v>0</v>
      </c>
      <c r="F8" s="129">
        <v>3194183.7871128502</v>
      </c>
      <c r="G8" s="129">
        <v>2446508.1761928299</v>
      </c>
      <c r="H8" s="129">
        <v>1758654.6764317499</v>
      </c>
      <c r="I8" s="129">
        <v>1124921.78610741</v>
      </c>
      <c r="J8" s="129">
        <v>540220.04622955096</v>
      </c>
      <c r="K8" s="129">
        <v>0</v>
      </c>
    </row>
    <row r="9" spans="2:11">
      <c r="B9" t="s">
        <v>371</v>
      </c>
    </row>
    <row r="10" spans="2:11">
      <c r="B10" t="s">
        <v>372</v>
      </c>
    </row>
    <row r="11" spans="2:11">
      <c r="B11" t="s">
        <v>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71D06-EC59-417F-A590-DCA8E8166194}">
  <sheetPr>
    <outlinePr summaryBelow="0"/>
  </sheetPr>
  <dimension ref="B1:H14"/>
  <sheetViews>
    <sheetView showGridLines="0" workbookViewId="0">
      <selection activeCell="B3" sqref="B3:H11"/>
    </sheetView>
  </sheetViews>
  <sheetFormatPr defaultRowHeight="14.5" outlineLevelRow="1" outlineLevelCol="1"/>
  <cols>
    <col min="3" max="3" width="15.54296875" bestFit="1" customWidth="1"/>
    <col min="4" max="8" width="15.7265625" bestFit="1" customWidth="1" outlineLevel="1"/>
  </cols>
  <sheetData>
    <row r="1" spans="2:8" ht="15" thickBot="1"/>
    <row r="2" spans="2:8" ht="15.5">
      <c r="B2" s="171" t="s">
        <v>368</v>
      </c>
      <c r="C2" s="171"/>
      <c r="D2" s="136"/>
      <c r="E2" s="136"/>
      <c r="F2" s="136"/>
      <c r="G2" s="136"/>
      <c r="H2" s="136"/>
    </row>
    <row r="3" spans="2:8" ht="15.5" collapsed="1">
      <c r="B3" s="170"/>
      <c r="C3" s="170"/>
      <c r="D3" s="137" t="s">
        <v>369</v>
      </c>
      <c r="E3" s="137" t="s">
        <v>434</v>
      </c>
      <c r="F3" s="137" t="s">
        <v>431</v>
      </c>
      <c r="G3" s="137" t="s">
        <v>432</v>
      </c>
      <c r="H3" s="137" t="s">
        <v>433</v>
      </c>
    </row>
    <row r="4" spans="2:8" ht="21" hidden="1" outlineLevel="1">
      <c r="B4" s="172"/>
      <c r="C4" s="172"/>
      <c r="D4" s="127"/>
      <c r="E4" s="140" t="s">
        <v>422</v>
      </c>
      <c r="F4" s="140" t="s">
        <v>422</v>
      </c>
      <c r="G4" s="140" t="s">
        <v>422</v>
      </c>
      <c r="H4" s="140" t="s">
        <v>422</v>
      </c>
    </row>
    <row r="5" spans="2:8">
      <c r="B5" s="173" t="s">
        <v>430</v>
      </c>
      <c r="C5" s="173"/>
      <c r="D5" s="132"/>
      <c r="E5" s="132"/>
      <c r="F5" s="132"/>
      <c r="G5" s="132"/>
      <c r="H5" s="132"/>
    </row>
    <row r="6" spans="2:8" outlineLevel="1">
      <c r="B6" s="172"/>
      <c r="C6" s="172" t="s">
        <v>435</v>
      </c>
      <c r="D6" s="177">
        <v>10000000</v>
      </c>
      <c r="E6" s="178">
        <v>10000000</v>
      </c>
      <c r="F6" s="178">
        <v>10000000</v>
      </c>
      <c r="G6" s="178">
        <v>15000000</v>
      </c>
      <c r="H6" s="178">
        <v>20000000</v>
      </c>
    </row>
    <row r="7" spans="2:8" outlineLevel="1">
      <c r="B7" s="172"/>
      <c r="C7" s="172" t="s">
        <v>436</v>
      </c>
      <c r="D7" s="177">
        <v>1209466.8471520101</v>
      </c>
      <c r="E7" s="178">
        <v>1209466.8471520101</v>
      </c>
      <c r="F7" s="178">
        <v>1500000</v>
      </c>
      <c r="G7" s="178">
        <v>2000000</v>
      </c>
      <c r="H7" s="178">
        <v>4000000</v>
      </c>
    </row>
    <row r="8" spans="2:8" outlineLevel="1">
      <c r="B8" s="172"/>
      <c r="C8" s="172" t="s">
        <v>418</v>
      </c>
      <c r="D8" s="128">
        <v>0.1</v>
      </c>
      <c r="E8" s="138">
        <v>0.1</v>
      </c>
      <c r="F8" s="138">
        <v>0.1</v>
      </c>
      <c r="G8" s="138">
        <v>0.08</v>
      </c>
      <c r="H8" s="138">
        <v>7.0000000000000007E-2</v>
      </c>
    </row>
    <row r="9" spans="2:8" outlineLevel="1">
      <c r="B9" s="172"/>
      <c r="C9" s="172" t="s">
        <v>437</v>
      </c>
      <c r="D9" s="128">
        <v>0.15</v>
      </c>
      <c r="E9" s="138">
        <v>0.15</v>
      </c>
      <c r="F9" s="138">
        <v>0.15</v>
      </c>
      <c r="G9" s="138">
        <v>0.1</v>
      </c>
      <c r="H9" s="138">
        <v>0.13</v>
      </c>
    </row>
    <row r="10" spans="2:8">
      <c r="B10" s="173" t="s">
        <v>370</v>
      </c>
      <c r="C10" s="173"/>
      <c r="D10" s="132"/>
      <c r="E10" s="132"/>
      <c r="F10" s="132"/>
      <c r="G10" s="132"/>
      <c r="H10" s="132"/>
    </row>
    <row r="11" spans="2:8" ht="15" outlineLevel="1" thickBot="1">
      <c r="B11" s="174"/>
      <c r="C11" s="174" t="s">
        <v>420</v>
      </c>
      <c r="D11" s="129">
        <v>0</v>
      </c>
      <c r="E11" s="129">
        <v>0</v>
      </c>
      <c r="F11" s="129">
        <v>2402158.8812634302</v>
      </c>
      <c r="G11" s="129">
        <v>4763339.6544184098</v>
      </c>
      <c r="H11" s="129">
        <v>12027075.9988764</v>
      </c>
    </row>
    <row r="12" spans="2:8">
      <c r="B12" t="s">
        <v>371</v>
      </c>
    </row>
    <row r="13" spans="2:8">
      <c r="B13" t="s">
        <v>372</v>
      </c>
    </row>
    <row r="14" spans="2:8">
      <c r="B14" t="s">
        <v>373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132F9-A521-4EF7-B4CA-99D726752DF2}">
  <dimension ref="A2:BS145"/>
  <sheetViews>
    <sheetView zoomScale="90" zoomScaleNormal="90" workbookViewId="0">
      <selection activeCell="A12" sqref="A12:F14"/>
    </sheetView>
  </sheetViews>
  <sheetFormatPr defaultColWidth="9.1796875" defaultRowHeight="15.5"/>
  <cols>
    <col min="1" max="1" width="29.1796875" style="1" customWidth="1"/>
    <col min="2" max="2" width="20.26953125" style="1" customWidth="1"/>
    <col min="3" max="3" width="17.7265625" style="1" customWidth="1"/>
    <col min="4" max="4" width="11.6328125" style="1" customWidth="1"/>
    <col min="5" max="5" width="18.81640625" style="1" bestFit="1" customWidth="1"/>
    <col min="6" max="6" width="28.54296875" style="1" bestFit="1" customWidth="1"/>
    <col min="7" max="7" width="16.26953125" style="1" customWidth="1"/>
    <col min="8" max="8" width="25" style="1" customWidth="1"/>
    <col min="9" max="9" width="16.26953125" style="1" customWidth="1"/>
    <col min="10" max="10" width="18.90625" style="1" customWidth="1"/>
    <col min="11" max="11" width="17.36328125" style="1" bestFit="1" customWidth="1"/>
    <col min="12" max="14" width="14.08984375" style="1" bestFit="1" customWidth="1"/>
    <col min="15" max="15" width="13.81640625" style="1" bestFit="1" customWidth="1"/>
    <col min="16" max="16" width="11.08984375" style="1" customWidth="1"/>
    <col min="17" max="17" width="18.6328125" style="1" customWidth="1"/>
    <col min="18" max="18" width="15.6328125" style="1" customWidth="1"/>
    <col min="19" max="30" width="28.54296875" style="1" customWidth="1"/>
    <col min="31" max="35" width="9.1796875" style="1"/>
    <col min="36" max="36" width="24.81640625" style="1" customWidth="1"/>
    <col min="37" max="37" width="17.26953125" style="1" bestFit="1" customWidth="1"/>
    <col min="38" max="38" width="13.26953125" style="1" customWidth="1"/>
    <col min="39" max="39" width="17.81640625" style="1" customWidth="1"/>
    <col min="40" max="40" width="13.26953125" style="1" customWidth="1"/>
    <col min="41" max="41" width="19.54296875" style="1" bestFit="1" customWidth="1"/>
    <col min="42" max="42" width="18" style="1" customWidth="1"/>
    <col min="43" max="43" width="23.36328125" style="1" customWidth="1"/>
    <col min="44" max="44" width="16.08984375" style="1" bestFit="1" customWidth="1"/>
    <col min="45" max="45" width="13.453125" style="1" bestFit="1" customWidth="1"/>
    <col min="46" max="46" width="14.7265625" style="1" bestFit="1" customWidth="1"/>
    <col min="47" max="47" width="16.08984375" style="1" customWidth="1"/>
    <col min="48" max="48" width="17.1796875" style="1" customWidth="1"/>
    <col min="49" max="50" width="13.1796875" style="1" customWidth="1"/>
    <col min="51" max="51" width="14.26953125" style="1" customWidth="1"/>
    <col min="52" max="52" width="12.81640625" style="1" customWidth="1"/>
    <col min="53" max="53" width="14.26953125" style="1" customWidth="1"/>
    <col min="54" max="54" width="13.6328125" style="1" customWidth="1"/>
    <col min="55" max="55" width="14.453125" style="1" bestFit="1" customWidth="1"/>
    <col min="56" max="62" width="11.1796875" style="1" customWidth="1"/>
    <col min="63" max="63" width="15.7265625" style="1" customWidth="1"/>
    <col min="64" max="66" width="11.1796875" style="1" customWidth="1"/>
    <col min="67" max="67" width="21.54296875" style="1" customWidth="1"/>
    <col min="68" max="68" width="18.26953125" style="1" customWidth="1"/>
    <col min="69" max="69" width="9.1796875" style="1"/>
    <col min="70" max="70" width="12.6328125" style="1" bestFit="1" customWidth="1"/>
    <col min="71" max="16384" width="9.1796875" style="1"/>
  </cols>
  <sheetData>
    <row r="2" spans="1:71" ht="22.5">
      <c r="F2" s="94" t="s">
        <v>421</v>
      </c>
      <c r="I2" s="1" t="s">
        <v>363</v>
      </c>
      <c r="J2" s="1" t="s">
        <v>431</v>
      </c>
      <c r="K2" s="1" t="s">
        <v>432</v>
      </c>
      <c r="L2" s="1" t="s">
        <v>433</v>
      </c>
    </row>
    <row r="3" spans="1:71">
      <c r="H3" s="1" t="s">
        <v>214</v>
      </c>
      <c r="I3" s="117">
        <v>10000000</v>
      </c>
      <c r="J3" s="117">
        <v>10000000</v>
      </c>
      <c r="K3" s="117">
        <v>15000000</v>
      </c>
      <c r="L3" s="117">
        <v>20000000</v>
      </c>
    </row>
    <row r="4" spans="1:71">
      <c r="H4" s="1" t="s">
        <v>92</v>
      </c>
      <c r="I4" s="117">
        <v>1209466.8471520101</v>
      </c>
      <c r="J4" s="117">
        <v>1500000</v>
      </c>
      <c r="K4" s="117">
        <v>2000000</v>
      </c>
      <c r="L4" s="117">
        <v>4000000</v>
      </c>
    </row>
    <row r="5" spans="1:71">
      <c r="H5" s="1" t="s">
        <v>418</v>
      </c>
      <c r="I5" s="26">
        <v>0.1</v>
      </c>
      <c r="J5" s="26">
        <v>0.1</v>
      </c>
      <c r="K5" s="26">
        <v>0.08</v>
      </c>
      <c r="L5" s="26">
        <v>7.0000000000000007E-2</v>
      </c>
    </row>
    <row r="6" spans="1:71">
      <c r="H6" s="1" t="s">
        <v>419</v>
      </c>
      <c r="I6" s="26">
        <v>0.15</v>
      </c>
      <c r="J6" s="26">
        <v>0.15</v>
      </c>
      <c r="K6" s="26">
        <v>0.1</v>
      </c>
      <c r="L6" s="26">
        <v>0.13</v>
      </c>
      <c r="R6" s="1" t="s">
        <v>419</v>
      </c>
      <c r="S6" s="26">
        <v>0.1</v>
      </c>
      <c r="T6" s="26">
        <v>0.11</v>
      </c>
      <c r="U6" s="26">
        <v>0.12</v>
      </c>
      <c r="V6" s="26">
        <v>0.13</v>
      </c>
      <c r="W6" s="26">
        <v>0.14000000000000001</v>
      </c>
      <c r="X6" s="26">
        <v>0.15</v>
      </c>
    </row>
    <row r="7" spans="1:71">
      <c r="C7" s="21" t="s">
        <v>78</v>
      </c>
      <c r="R7" s="23" t="s">
        <v>420</v>
      </c>
      <c r="S7" s="117">
        <f t="shared" ref="S7:X7" si="0">NPV(S$6,$H$11:$H$22)+$H$10</f>
        <v>3194183.7871128321</v>
      </c>
      <c r="T7" s="117">
        <f t="shared" si="0"/>
        <v>2446508.1761928201</v>
      </c>
      <c r="U7" s="117">
        <f t="shared" si="0"/>
        <v>1758654.6764317323</v>
      </c>
      <c r="V7" s="117">
        <f t="shared" si="0"/>
        <v>1124921.7861073967</v>
      </c>
      <c r="W7" s="117">
        <f t="shared" si="0"/>
        <v>540220.04622953944</v>
      </c>
      <c r="X7" s="117">
        <f t="shared" si="0"/>
        <v>0</v>
      </c>
      <c r="Y7" s="23"/>
      <c r="Z7" s="23"/>
      <c r="AA7" s="23"/>
    </row>
    <row r="8" spans="1:71">
      <c r="A8" s="22" t="s">
        <v>79</v>
      </c>
      <c r="R8" s="117"/>
    </row>
    <row r="9" spans="1:71" ht="15.75" customHeight="1">
      <c r="A9" s="23" t="s">
        <v>80</v>
      </c>
      <c r="B9" s="23"/>
      <c r="C9" s="23"/>
      <c r="D9" s="23"/>
      <c r="E9" s="23"/>
      <c r="F9" s="23"/>
      <c r="G9" s="23" t="s">
        <v>416</v>
      </c>
      <c r="H9" s="23" t="s">
        <v>417</v>
      </c>
      <c r="I9" s="23"/>
      <c r="R9" s="117"/>
      <c r="AB9" s="23"/>
      <c r="AC9" s="23"/>
      <c r="AD9" s="23"/>
    </row>
    <row r="10" spans="1:71">
      <c r="A10" s="1" t="s">
        <v>81</v>
      </c>
      <c r="G10" s="1">
        <v>0</v>
      </c>
      <c r="H10" s="117">
        <f>-I3</f>
        <v>-10000000</v>
      </c>
      <c r="I10" s="117">
        <f>-I3</f>
        <v>-10000000</v>
      </c>
      <c r="J10" s="117">
        <f t="shared" ref="J10:L10" si="1">-J3</f>
        <v>-10000000</v>
      </c>
      <c r="K10" s="117">
        <f t="shared" si="1"/>
        <v>-15000000</v>
      </c>
      <c r="L10" s="117">
        <f t="shared" si="1"/>
        <v>-20000000</v>
      </c>
      <c r="R10" s="1" t="s">
        <v>419</v>
      </c>
      <c r="S10" s="23" t="s">
        <v>420</v>
      </c>
      <c r="T10" s="23"/>
      <c r="U10" s="23"/>
      <c r="V10" s="23"/>
      <c r="W10" s="23"/>
      <c r="X10" s="23"/>
      <c r="Y10" s="23"/>
      <c r="Z10" s="23"/>
      <c r="AA10" s="23"/>
    </row>
    <row r="11" spans="1:71">
      <c r="G11" s="1">
        <v>1</v>
      </c>
      <c r="H11" s="117">
        <f>I4</f>
        <v>1209466.8471520101</v>
      </c>
      <c r="I11" s="117">
        <f>I4</f>
        <v>1209466.8471520101</v>
      </c>
      <c r="J11" s="117">
        <f t="shared" ref="J11:L11" si="2">J4</f>
        <v>1500000</v>
      </c>
      <c r="K11" s="117">
        <f t="shared" si="2"/>
        <v>2000000</v>
      </c>
      <c r="L11" s="117">
        <f t="shared" si="2"/>
        <v>4000000</v>
      </c>
      <c r="R11" s="117"/>
      <c r="S11" s="117">
        <f>H24</f>
        <v>0</v>
      </c>
      <c r="T11" s="23"/>
      <c r="U11" s="23"/>
      <c r="V11" s="23"/>
      <c r="W11" s="23"/>
      <c r="X11" s="23"/>
      <c r="Y11" s="23"/>
      <c r="Z11" s="23"/>
      <c r="AA11" s="23"/>
    </row>
    <row r="12" spans="1:71">
      <c r="A12" s="23" t="s">
        <v>82</v>
      </c>
      <c r="B12" s="23"/>
      <c r="C12" s="23"/>
      <c r="D12" s="23"/>
      <c r="E12" s="23"/>
      <c r="F12" s="23"/>
      <c r="G12" s="23">
        <v>2</v>
      </c>
      <c r="H12" s="167">
        <f>(1+$I$5)*H11</f>
        <v>1330413.5318672112</v>
      </c>
      <c r="I12" s="117">
        <f>(100%+I$5)*I11</f>
        <v>1330413.5318672112</v>
      </c>
      <c r="J12" s="117">
        <f t="shared" ref="J12:L12" si="3">(100%+J$5)*J11</f>
        <v>1650000.0000000002</v>
      </c>
      <c r="K12" s="117">
        <f t="shared" si="3"/>
        <v>2160000</v>
      </c>
      <c r="L12" s="117">
        <f t="shared" si="3"/>
        <v>4280000</v>
      </c>
      <c r="R12" s="169">
        <v>0.1</v>
      </c>
      <c r="S12" s="117">
        <f t="dataTable" ref="S12:S17" dt2D="0" dtr="0" r1="I6"/>
        <v>3194183.7871128321</v>
      </c>
      <c r="AB12" s="23"/>
      <c r="AC12" s="23"/>
      <c r="AD12" s="23"/>
    </row>
    <row r="13" spans="1:71" ht="15.75" customHeight="1">
      <c r="A13" s="23" t="s">
        <v>83</v>
      </c>
      <c r="B13" s="23"/>
      <c r="C13" s="23"/>
      <c r="D13" s="23"/>
      <c r="E13" s="23"/>
      <c r="F13" s="23"/>
      <c r="G13" s="23">
        <v>3</v>
      </c>
      <c r="H13" s="167">
        <f t="shared" ref="H13:H22" si="4">(1+$I$5)*H12</f>
        <v>1463454.8850539324</v>
      </c>
      <c r="I13" s="117">
        <f t="shared" ref="I13:I22" si="5">(100%+I$5)*I12</f>
        <v>1463454.8850539324</v>
      </c>
      <c r="J13" s="117">
        <f t="shared" ref="J13:J22" si="6">(100%+J$5)*J12</f>
        <v>1815000.0000000005</v>
      </c>
      <c r="K13" s="117">
        <f t="shared" ref="K13:K22" si="7">(100%+K$5)*K12</f>
        <v>2332800</v>
      </c>
      <c r="L13" s="117">
        <f t="shared" ref="L13:L22" si="8">(100%+L$5)*L12</f>
        <v>4579600</v>
      </c>
      <c r="R13" s="169">
        <v>0.11</v>
      </c>
      <c r="S13" s="117">
        <v>2446508.1761928201</v>
      </c>
      <c r="AB13" s="23"/>
      <c r="AC13" s="23"/>
      <c r="AD13" s="23"/>
    </row>
    <row r="14" spans="1:71">
      <c r="A14" s="1" t="s">
        <v>84</v>
      </c>
      <c r="G14" s="1">
        <v>4</v>
      </c>
      <c r="H14" s="167">
        <f t="shared" si="4"/>
        <v>1609800.3735593257</v>
      </c>
      <c r="I14" s="117">
        <f t="shared" si="5"/>
        <v>1609800.3735593257</v>
      </c>
      <c r="J14" s="117">
        <f t="shared" si="6"/>
        <v>1996500.0000000007</v>
      </c>
      <c r="K14" s="117">
        <f t="shared" si="7"/>
        <v>2519424</v>
      </c>
      <c r="L14" s="117">
        <f t="shared" si="8"/>
        <v>4900172</v>
      </c>
      <c r="R14" s="169">
        <v>0.12</v>
      </c>
      <c r="S14" s="117">
        <v>1758654.6764317323</v>
      </c>
      <c r="T14" s="23"/>
      <c r="U14" s="23"/>
      <c r="V14" s="23"/>
      <c r="W14" s="23"/>
      <c r="X14" s="23"/>
      <c r="Y14" s="23"/>
      <c r="Z14" s="23"/>
      <c r="AA14" s="23"/>
    </row>
    <row r="15" spans="1:71">
      <c r="A15" s="24" t="s">
        <v>85</v>
      </c>
      <c r="G15" s="23">
        <v>5</v>
      </c>
      <c r="H15" s="167">
        <f t="shared" si="4"/>
        <v>1770780.4109152583</v>
      </c>
      <c r="I15" s="117">
        <f t="shared" si="5"/>
        <v>1770780.4109152583</v>
      </c>
      <c r="J15" s="117">
        <f t="shared" si="6"/>
        <v>2196150.0000000009</v>
      </c>
      <c r="K15" s="117">
        <f t="shared" si="7"/>
        <v>2720977.9200000004</v>
      </c>
      <c r="L15" s="117">
        <f t="shared" si="8"/>
        <v>5243184.04</v>
      </c>
      <c r="R15" s="169">
        <v>0.13</v>
      </c>
      <c r="S15" s="117">
        <v>1124921.7861073967</v>
      </c>
      <c r="T15" s="25"/>
      <c r="U15" s="25"/>
      <c r="V15" s="25"/>
      <c r="W15" s="25"/>
      <c r="X15" s="25"/>
      <c r="Y15" s="25"/>
      <c r="Z15" s="25"/>
      <c r="AA15" s="25"/>
    </row>
    <row r="16" spans="1:71" ht="15.75" customHeight="1">
      <c r="A16" s="23" t="s">
        <v>86</v>
      </c>
      <c r="B16" s="23"/>
      <c r="C16" s="23"/>
      <c r="D16" s="23"/>
      <c r="E16" s="23"/>
      <c r="F16" s="23"/>
      <c r="G16" s="23">
        <v>6</v>
      </c>
      <c r="H16" s="167">
        <f t="shared" si="4"/>
        <v>1947858.4520067843</v>
      </c>
      <c r="I16" s="117">
        <f t="shared" si="5"/>
        <v>1947858.4520067843</v>
      </c>
      <c r="J16" s="117">
        <f t="shared" si="6"/>
        <v>2415765.0000000014</v>
      </c>
      <c r="K16" s="117">
        <f t="shared" si="7"/>
        <v>2938656.1536000008</v>
      </c>
      <c r="L16" s="117">
        <f t="shared" si="8"/>
        <v>5610206.9228000008</v>
      </c>
      <c r="R16" s="169">
        <v>0.14000000000000001</v>
      </c>
      <c r="S16" s="117">
        <v>540220.04622953944</v>
      </c>
      <c r="T16" s="25"/>
      <c r="U16" s="25"/>
      <c r="V16" s="25"/>
      <c r="W16" s="25"/>
      <c r="X16" s="25"/>
      <c r="Y16" s="25"/>
      <c r="Z16" s="25"/>
      <c r="AA16" s="25"/>
      <c r="AB16" s="23"/>
      <c r="AC16" s="23"/>
      <c r="AD16" s="23"/>
      <c r="BR16" s="8" t="s">
        <v>342</v>
      </c>
      <c r="BS16" s="8" t="s">
        <v>350</v>
      </c>
    </row>
    <row r="17" spans="1:71">
      <c r="A17" s="88"/>
      <c r="B17" s="88"/>
      <c r="C17" s="88"/>
      <c r="D17" s="88"/>
      <c r="E17" s="88"/>
      <c r="F17" s="25" t="s">
        <v>87</v>
      </c>
      <c r="G17" s="1">
        <v>7</v>
      </c>
      <c r="H17" s="167">
        <f t="shared" si="4"/>
        <v>2142644.2972074631</v>
      </c>
      <c r="I17" s="117">
        <f t="shared" si="5"/>
        <v>2142644.2972074631</v>
      </c>
      <c r="J17" s="117">
        <f>(100%+J$5)*J16</f>
        <v>2657341.5000000019</v>
      </c>
      <c r="K17" s="117">
        <f t="shared" si="7"/>
        <v>3173748.6458880012</v>
      </c>
      <c r="L17" s="117">
        <f t="shared" si="8"/>
        <v>6002921.4073960008</v>
      </c>
      <c r="R17" s="169">
        <v>0.15</v>
      </c>
      <c r="S17" s="117">
        <v>0</v>
      </c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BR17" s="1" t="s">
        <v>344</v>
      </c>
      <c r="BS17" s="1">
        <v>1</v>
      </c>
    </row>
    <row r="18" spans="1:71">
      <c r="A18" s="23" t="s">
        <v>88</v>
      </c>
      <c r="B18" s="88"/>
      <c r="C18" s="88"/>
      <c r="D18" s="88"/>
      <c r="E18" s="88"/>
      <c r="F18" s="25"/>
      <c r="G18" s="23">
        <v>8</v>
      </c>
      <c r="H18" s="167">
        <f t="shared" si="4"/>
        <v>2356908.7269282094</v>
      </c>
      <c r="I18" s="117">
        <f t="shared" si="5"/>
        <v>2356908.7269282094</v>
      </c>
      <c r="J18" s="117">
        <f>(100%+J$5)*J17</f>
        <v>2923075.6500000022</v>
      </c>
      <c r="K18" s="117">
        <f t="shared" si="7"/>
        <v>3427648.5375590413</v>
      </c>
      <c r="L18" s="117">
        <f t="shared" si="8"/>
        <v>6423125.9059137208</v>
      </c>
      <c r="R18" s="117"/>
      <c r="S18" s="69"/>
      <c r="T18" s="69"/>
      <c r="U18" s="69"/>
      <c r="V18" s="69"/>
      <c r="W18" s="69"/>
      <c r="X18" s="69"/>
      <c r="Y18" s="69"/>
      <c r="Z18" s="69"/>
      <c r="AA18" s="69"/>
      <c r="AB18" s="25"/>
      <c r="AC18" s="25"/>
      <c r="AD18" s="25"/>
      <c r="BR18" s="1" t="s">
        <v>345</v>
      </c>
      <c r="BS18" s="1">
        <v>2</v>
      </c>
    </row>
    <row r="19" spans="1:71">
      <c r="A19" s="23" t="s">
        <v>256</v>
      </c>
      <c r="B19" s="88"/>
      <c r="C19" s="88"/>
      <c r="D19" s="88"/>
      <c r="E19" s="88"/>
      <c r="F19" s="25"/>
      <c r="G19" s="23">
        <v>9</v>
      </c>
      <c r="H19" s="167">
        <f t="shared" si="4"/>
        <v>2592599.5996210305</v>
      </c>
      <c r="I19" s="117">
        <f t="shared" si="5"/>
        <v>2592599.5996210305</v>
      </c>
      <c r="J19" s="117">
        <f t="shared" si="6"/>
        <v>3215383.2150000026</v>
      </c>
      <c r="K19" s="117">
        <f t="shared" si="7"/>
        <v>3701860.4205637649</v>
      </c>
      <c r="L19" s="117">
        <f t="shared" si="8"/>
        <v>6872744.7193276817</v>
      </c>
      <c r="R19" s="117" t="s">
        <v>419</v>
      </c>
      <c r="S19" s="176">
        <v>0.15</v>
      </c>
      <c r="T19" s="176">
        <v>0.15</v>
      </c>
      <c r="U19" s="176">
        <v>0.1</v>
      </c>
      <c r="V19" s="176">
        <v>0.11</v>
      </c>
      <c r="W19" s="176">
        <v>0.12</v>
      </c>
      <c r="X19" s="176">
        <v>0.13</v>
      </c>
      <c r="Y19" s="176">
        <v>0.14000000000000001</v>
      </c>
      <c r="Z19" s="176">
        <v>0.15</v>
      </c>
      <c r="AA19" s="69"/>
      <c r="AB19" s="25"/>
      <c r="AC19" s="25"/>
      <c r="AD19" s="25"/>
      <c r="BR19" s="1" t="s">
        <v>346</v>
      </c>
      <c r="BS19" s="1">
        <v>4</v>
      </c>
    </row>
    <row r="20" spans="1:71" ht="15.75" customHeight="1">
      <c r="A20" s="69"/>
      <c r="B20" s="69"/>
      <c r="C20" s="69"/>
      <c r="D20" s="69"/>
      <c r="E20" s="69"/>
      <c r="F20" s="69"/>
      <c r="G20" s="1">
        <v>10</v>
      </c>
      <c r="H20" s="167">
        <f t="shared" si="4"/>
        <v>2851859.5595831336</v>
      </c>
      <c r="I20" s="117">
        <f t="shared" si="5"/>
        <v>2851859.5595831336</v>
      </c>
      <c r="J20" s="117">
        <f t="shared" si="6"/>
        <v>3536921.5365000032</v>
      </c>
      <c r="K20" s="117">
        <f t="shared" si="7"/>
        <v>3998009.2542088665</v>
      </c>
      <c r="L20" s="117">
        <f t="shared" si="8"/>
        <v>7353836.8496806202</v>
      </c>
      <c r="R20" s="168"/>
      <c r="S20" s="28"/>
      <c r="T20" s="28"/>
      <c r="U20" s="28"/>
      <c r="V20" s="28"/>
      <c r="W20" s="28"/>
      <c r="X20" s="28"/>
      <c r="Y20" s="28"/>
      <c r="Z20" s="28"/>
      <c r="AA20" s="69"/>
      <c r="AB20" s="69"/>
      <c r="AC20" s="69"/>
      <c r="AD20" s="69"/>
      <c r="BR20" s="1" t="s">
        <v>348</v>
      </c>
      <c r="BS20" s="1">
        <v>12</v>
      </c>
    </row>
    <row r="21" spans="1:71" ht="15.75" customHeight="1">
      <c r="A21" s="69"/>
      <c r="B21" s="69" t="s">
        <v>89</v>
      </c>
      <c r="C21" s="69" t="s">
        <v>90</v>
      </c>
      <c r="D21" s="69" t="s">
        <v>91</v>
      </c>
      <c r="E21" s="69" t="s">
        <v>92</v>
      </c>
      <c r="F21" s="69" t="s">
        <v>93</v>
      </c>
      <c r="G21" s="23">
        <v>11</v>
      </c>
      <c r="H21" s="167">
        <f t="shared" si="4"/>
        <v>3137045.5155414473</v>
      </c>
      <c r="I21" s="117">
        <f t="shared" si="5"/>
        <v>3137045.5155414473</v>
      </c>
      <c r="J21" s="117">
        <f t="shared" si="6"/>
        <v>3890613.6901500039</v>
      </c>
      <c r="K21" s="117">
        <f t="shared" si="7"/>
        <v>4317849.9945455762</v>
      </c>
      <c r="L21" s="117">
        <f>(100%+L$5)*L20</f>
        <v>7868605.4291582638</v>
      </c>
      <c r="R21" s="28" t="s">
        <v>420</v>
      </c>
      <c r="S21" s="175">
        <v>0</v>
      </c>
      <c r="T21" s="175">
        <v>0</v>
      </c>
      <c r="U21" s="175">
        <v>3194183.7871128502</v>
      </c>
      <c r="V21" s="175">
        <v>2446508.1761928299</v>
      </c>
      <c r="W21" s="175">
        <v>1758654.6764317499</v>
      </c>
      <c r="X21" s="175">
        <v>1124921.78610741</v>
      </c>
      <c r="Y21" s="175">
        <v>540220.04622955096</v>
      </c>
      <c r="Z21" s="175">
        <v>0</v>
      </c>
      <c r="AA21" s="28"/>
      <c r="AB21" s="69"/>
      <c r="AC21" s="69"/>
      <c r="AD21" s="69"/>
      <c r="BR21" s="1" t="s">
        <v>347</v>
      </c>
      <c r="BS21" s="1">
        <v>52</v>
      </c>
    </row>
    <row r="22" spans="1:71" ht="15.75" customHeight="1">
      <c r="A22" s="69"/>
      <c r="B22" s="69"/>
      <c r="C22" s="69"/>
      <c r="D22" s="69" t="s">
        <v>94</v>
      </c>
      <c r="E22" s="69" t="s">
        <v>94</v>
      </c>
      <c r="F22" s="69"/>
      <c r="G22" s="69">
        <v>12</v>
      </c>
      <c r="H22" s="167">
        <f t="shared" si="4"/>
        <v>3450750.0670955922</v>
      </c>
      <c r="I22" s="117">
        <f t="shared" si="5"/>
        <v>3450750.0670955922</v>
      </c>
      <c r="J22" s="117">
        <f t="shared" si="6"/>
        <v>4279675.0591650046</v>
      </c>
      <c r="K22" s="117">
        <f t="shared" si="7"/>
        <v>4663277.9941092227</v>
      </c>
      <c r="L22" s="117">
        <f t="shared" si="8"/>
        <v>8419407.8091993425</v>
      </c>
      <c r="AA22" s="28"/>
      <c r="AB22" s="69"/>
      <c r="AC22" s="69"/>
      <c r="AD22" s="69"/>
      <c r="AV22" s="1" t="s">
        <v>341</v>
      </c>
      <c r="BR22" s="1" t="s">
        <v>349</v>
      </c>
      <c r="BS22" s="1">
        <v>365</v>
      </c>
    </row>
    <row r="23" spans="1:71" ht="15.75" customHeight="1">
      <c r="B23" s="27" t="s">
        <v>95</v>
      </c>
      <c r="C23" s="28">
        <v>0.15</v>
      </c>
      <c r="D23" s="29">
        <v>10000000</v>
      </c>
      <c r="E23" s="29">
        <v>1500000</v>
      </c>
      <c r="F23" s="28">
        <v>0.1</v>
      </c>
      <c r="G23" s="28"/>
      <c r="I23" s="117"/>
      <c r="J23" s="117"/>
      <c r="K23" s="117"/>
      <c r="L23" s="117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V23" s="1" t="s">
        <v>355</v>
      </c>
    </row>
    <row r="24" spans="1:71">
      <c r="B24" s="27" t="s">
        <v>96</v>
      </c>
      <c r="C24" s="28">
        <v>0.1</v>
      </c>
      <c r="D24" s="29">
        <v>15000000</v>
      </c>
      <c r="E24" s="29">
        <v>2000000</v>
      </c>
      <c r="F24" s="28">
        <v>0.08</v>
      </c>
      <c r="G24" s="167" t="s">
        <v>420</v>
      </c>
      <c r="H24" s="167">
        <f>NPV($I$6,H11:H22)+H10</f>
        <v>0</v>
      </c>
      <c r="I24" s="117">
        <f>NPV(I6,I11:I22)+I10</f>
        <v>0</v>
      </c>
      <c r="J24" s="117">
        <f t="shared" ref="J24:L24" si="9">NPV(J6,J11:J22)+J10</f>
        <v>2402158.8812634349</v>
      </c>
      <c r="K24" s="117">
        <f t="shared" si="9"/>
        <v>4763339.6544184089</v>
      </c>
      <c r="L24" s="117">
        <f t="shared" si="9"/>
        <v>12027075.998876359</v>
      </c>
      <c r="AB24" s="28"/>
      <c r="AC24" s="28"/>
      <c r="AD24" s="28"/>
      <c r="AV24" s="1" t="s">
        <v>356</v>
      </c>
    </row>
    <row r="25" spans="1:71" ht="30" customHeight="1">
      <c r="B25" s="27" t="s">
        <v>97</v>
      </c>
      <c r="C25" s="28">
        <v>0.13</v>
      </c>
      <c r="D25" s="29">
        <v>20000000</v>
      </c>
      <c r="E25" s="29">
        <v>4000000</v>
      </c>
      <c r="F25" s="28">
        <v>7.0000000000000007E-2</v>
      </c>
      <c r="G25" s="28"/>
      <c r="H25" s="167"/>
      <c r="I25" s="166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28"/>
      <c r="AC25" s="28"/>
      <c r="AD25" s="28"/>
    </row>
    <row r="26" spans="1:71">
      <c r="G26" s="68"/>
      <c r="H26" s="1" t="s">
        <v>376</v>
      </c>
      <c r="I26" s="1" t="s">
        <v>434</v>
      </c>
      <c r="J26" s="1" t="s">
        <v>431</v>
      </c>
      <c r="K26" s="1" t="s">
        <v>432</v>
      </c>
      <c r="L26" s="1" t="s">
        <v>433</v>
      </c>
    </row>
    <row r="27" spans="1:71" ht="15.5" customHeight="1">
      <c r="A27" s="68" t="s">
        <v>98</v>
      </c>
      <c r="B27" s="68"/>
      <c r="C27" s="68"/>
      <c r="D27" s="68"/>
      <c r="E27" s="68"/>
      <c r="F27" s="68"/>
      <c r="H27" s="23" t="s">
        <v>420</v>
      </c>
      <c r="I27" s="117">
        <v>0</v>
      </c>
      <c r="J27" s="117">
        <v>2402158.8812634302</v>
      </c>
      <c r="K27" s="117">
        <v>4763339.6544184098</v>
      </c>
      <c r="L27" s="117">
        <v>12027075.9988764</v>
      </c>
      <c r="AB27" s="68"/>
      <c r="AC27" s="68"/>
      <c r="AD27" s="68"/>
      <c r="AJ27" s="1" t="s">
        <v>340</v>
      </c>
      <c r="AK27" s="117">
        <v>150000000</v>
      </c>
      <c r="AO27" s="123" t="s">
        <v>363</v>
      </c>
      <c r="AP27" s="123"/>
      <c r="AQ27" s="1" t="s">
        <v>364</v>
      </c>
      <c r="AR27" s="123" t="s">
        <v>365</v>
      </c>
      <c r="AS27" s="1" t="s">
        <v>366</v>
      </c>
    </row>
    <row r="28" spans="1:71" ht="22.5">
      <c r="AJ28" s="1" t="s">
        <v>353</v>
      </c>
      <c r="AK28" s="26">
        <v>0.15</v>
      </c>
      <c r="AO28" s="1" t="s">
        <v>359</v>
      </c>
      <c r="AP28" s="117">
        <v>150000000</v>
      </c>
      <c r="AQ28" s="117">
        <v>150000000</v>
      </c>
      <c r="AR28" s="117">
        <v>150000000</v>
      </c>
      <c r="AS28" s="117">
        <v>150000000</v>
      </c>
      <c r="AT28" s="117"/>
    </row>
    <row r="29" spans="1:71" ht="25">
      <c r="H29" s="1" t="s">
        <v>376</v>
      </c>
      <c r="I29" s="23" t="s">
        <v>420</v>
      </c>
      <c r="J29" s="28"/>
      <c r="K29" s="28"/>
      <c r="L29" s="28"/>
      <c r="R29" s="23"/>
      <c r="S29" s="23"/>
      <c r="T29" s="23"/>
      <c r="U29" s="23"/>
      <c r="V29" s="23"/>
      <c r="W29" s="23"/>
      <c r="X29" s="23"/>
      <c r="Y29" s="23"/>
      <c r="Z29" s="23"/>
      <c r="AA29" s="23"/>
      <c r="AJ29" s="1" t="s">
        <v>354</v>
      </c>
      <c r="AK29" s="1">
        <v>4</v>
      </c>
      <c r="AO29" s="1" t="s">
        <v>360</v>
      </c>
      <c r="AP29" s="26">
        <v>0.15</v>
      </c>
      <c r="AQ29" s="26">
        <v>0.15</v>
      </c>
      <c r="AR29" s="26">
        <v>0.18</v>
      </c>
      <c r="AS29" s="26">
        <v>0.13</v>
      </c>
      <c r="AT29" s="26"/>
      <c r="AV29" s="120">
        <f>AK39</f>
        <v>50381387.518628985</v>
      </c>
      <c r="AW29" s="8">
        <v>2</v>
      </c>
      <c r="AX29" s="8">
        <v>3</v>
      </c>
      <c r="AY29" s="8">
        <v>4</v>
      </c>
      <c r="AZ29" s="8">
        <v>5</v>
      </c>
      <c r="BA29" s="8">
        <v>6</v>
      </c>
      <c r="BB29" s="8">
        <v>7</v>
      </c>
      <c r="BP29" s="119">
        <f>AK36</f>
        <v>4174612.239971437</v>
      </c>
    </row>
    <row r="30" spans="1:71">
      <c r="G30" s="23"/>
      <c r="H30" s="1" t="s">
        <v>434</v>
      </c>
      <c r="I30" s="117">
        <v>0</v>
      </c>
      <c r="J30" s="28"/>
      <c r="K30" s="28"/>
      <c r="L30" s="28"/>
      <c r="AO30" s="1" t="s">
        <v>341</v>
      </c>
      <c r="AP30" s="1">
        <v>4</v>
      </c>
      <c r="AQ30" s="1">
        <v>4</v>
      </c>
      <c r="AR30" s="1">
        <v>5</v>
      </c>
      <c r="AS30" s="1">
        <v>3</v>
      </c>
      <c r="AV30" s="121">
        <v>0.05</v>
      </c>
      <c r="AW30" s="117">
        <f t="dataTable" ref="AW30:BB44" dt2D="1" dtr="1" r1="AK29" r2="AK28" ca="1"/>
        <v>7937003.0426464081</v>
      </c>
      <c r="AX30" s="117">
        <v>11842844.365193576</v>
      </c>
      <c r="AY30" s="117">
        <v>15810913.70865491</v>
      </c>
      <c r="AZ30" s="117">
        <v>19841102.796098411</v>
      </c>
      <c r="BA30" s="117">
        <v>23933272.743670017</v>
      </c>
      <c r="BB30" s="117">
        <v>28087254.306028336</v>
      </c>
      <c r="BO30" s="26">
        <v>0.05</v>
      </c>
      <c r="BP30" s="119">
        <f t="dataTable" ref="BP30:BP44" dt2D="0" dtr="0" r1="AK28"/>
        <v>3454394.0355969775</v>
      </c>
    </row>
    <row r="31" spans="1:71" ht="15.75" customHeight="1">
      <c r="A31" s="23" t="s">
        <v>99</v>
      </c>
      <c r="B31" s="23"/>
      <c r="C31" s="23"/>
      <c r="D31" s="23"/>
      <c r="E31" s="23"/>
      <c r="F31" s="23"/>
      <c r="H31" s="1" t="s">
        <v>431</v>
      </c>
      <c r="I31" s="117">
        <v>2402158.8812634302</v>
      </c>
      <c r="AB31" s="23"/>
      <c r="AC31" s="23"/>
      <c r="AD31" s="23"/>
      <c r="AJ31" s="1" t="s">
        <v>342</v>
      </c>
      <c r="AK31" s="1" t="str">
        <f>BR20</f>
        <v>monthly</v>
      </c>
      <c r="AV31" s="121">
        <v>0.06</v>
      </c>
      <c r="AW31" s="117">
        <v>9554196.9099248052</v>
      </c>
      <c r="AX31" s="117">
        <v>14278462.238397628</v>
      </c>
      <c r="AY31" s="117">
        <v>19092209.145136446</v>
      </c>
      <c r="AZ31" s="117">
        <v>23995213.764851213</v>
      </c>
      <c r="BA31" s="117">
        <v>28987189.249499798</v>
      </c>
      <c r="BB31" s="117">
        <v>34067786.495637953</v>
      </c>
      <c r="BK31" s="119">
        <f>AK36</f>
        <v>4174612.239971437</v>
      </c>
      <c r="BO31" s="26">
        <v>0.06</v>
      </c>
      <c r="BP31" s="119">
        <v>3522754.3571903426</v>
      </c>
    </row>
    <row r="32" spans="1:71">
      <c r="A32" s="1" t="s">
        <v>100</v>
      </c>
      <c r="H32" s="1" t="s">
        <v>432</v>
      </c>
      <c r="I32" s="117">
        <v>4763339.6544184098</v>
      </c>
      <c r="AO32" s="1" t="s">
        <v>342</v>
      </c>
      <c r="AP32" s="1" t="s">
        <v>348</v>
      </c>
      <c r="AV32" s="121">
        <v>7.0000000000000007E-2</v>
      </c>
      <c r="AW32" s="117">
        <v>11181284.771323502</v>
      </c>
      <c r="AX32" s="117">
        <v>16736323.073008507</v>
      </c>
      <c r="AY32" s="117">
        <v>22412961.569588959</v>
      </c>
      <c r="AZ32" s="117">
        <v>28210786.863145798</v>
      </c>
      <c r="BA32" s="117">
        <v>34129269.897271872</v>
      </c>
      <c r="BB32" s="117">
        <v>40167767.775586367</v>
      </c>
      <c r="BJ32" s="1">
        <v>2</v>
      </c>
      <c r="BK32" s="119">
        <f t="dataTable" ref="BK32:BK41" dt2D="0" dtr="0" r1="AK29" ca="1"/>
        <v>7272997.2070426522</v>
      </c>
      <c r="BO32" s="26">
        <v>7.0000000000000007E-2</v>
      </c>
      <c r="BP32" s="119">
        <v>3591936.6993664363</v>
      </c>
    </row>
    <row r="33" spans="1:68">
      <c r="A33" s="1" t="s">
        <v>101</v>
      </c>
      <c r="H33" s="1" t="s">
        <v>433</v>
      </c>
      <c r="I33" s="117">
        <v>12027075.9988764</v>
      </c>
      <c r="R33" s="23"/>
      <c r="S33" s="23"/>
      <c r="T33" s="23"/>
      <c r="U33" s="23"/>
      <c r="V33" s="23"/>
      <c r="W33" s="23"/>
      <c r="X33" s="23"/>
      <c r="Y33" s="23"/>
      <c r="Z33" s="23"/>
      <c r="AA33" s="23"/>
      <c r="AJ33" s="1" t="s">
        <v>351</v>
      </c>
      <c r="AK33" s="1">
        <f>AK28/BS20</f>
        <v>1.2499999999999999E-2</v>
      </c>
      <c r="AV33" s="121">
        <v>0.08</v>
      </c>
      <c r="AW33" s="117">
        <v>12818249.242262959</v>
      </c>
      <c r="AX33" s="117">
        <v>19216373.491726577</v>
      </c>
      <c r="AY33" s="117">
        <v>25773040.858817875</v>
      </c>
      <c r="AZ33" s="117">
        <v>32487548.595723122</v>
      </c>
      <c r="BA33" s="117">
        <v>39358998.609090149</v>
      </c>
      <c r="BB33" s="117">
        <v>46386301.47363621</v>
      </c>
      <c r="BJ33" s="1">
        <v>3</v>
      </c>
      <c r="BK33" s="119">
        <v>5199799.2756291199</v>
      </c>
      <c r="BO33" s="26">
        <v>0.08</v>
      </c>
      <c r="BP33" s="119">
        <v>3661938.3512253724</v>
      </c>
    </row>
    <row r="34" spans="1:68">
      <c r="A34" s="24" t="s">
        <v>102</v>
      </c>
      <c r="G34" s="23"/>
      <c r="AJ34" s="1" t="s">
        <v>352</v>
      </c>
      <c r="AK34" s="1">
        <f>AK29*BS20</f>
        <v>48</v>
      </c>
      <c r="AO34" s="1" t="s">
        <v>361</v>
      </c>
      <c r="AP34" s="1">
        <f>AP29/12</f>
        <v>1.2499999999999999E-2</v>
      </c>
      <c r="AV34" s="121">
        <v>0.09</v>
      </c>
      <c r="AW34" s="117">
        <v>14465072.20502314</v>
      </c>
      <c r="AX34" s="117">
        <v>21718556.363679677</v>
      </c>
      <c r="AY34" s="117">
        <v>29172305.092326283</v>
      </c>
      <c r="AZ34" s="117">
        <v>36825197.037186086</v>
      </c>
      <c r="BA34" s="117">
        <v>44675801.417335808</v>
      </c>
      <c r="BB34" s="117">
        <v>52722386.076485753</v>
      </c>
      <c r="BJ34" s="1">
        <v>4</v>
      </c>
      <c r="BK34" s="119">
        <v>4174612.239971437</v>
      </c>
      <c r="BO34" s="26">
        <v>0.09</v>
      </c>
      <c r="BP34" s="119">
        <v>3732756.3560901312</v>
      </c>
    </row>
    <row r="35" spans="1:68">
      <c r="A35" s="23" t="s">
        <v>103</v>
      </c>
      <c r="B35" s="23"/>
      <c r="C35" s="23"/>
      <c r="D35" s="23"/>
      <c r="E35" s="23"/>
      <c r="F35" s="23"/>
      <c r="G35" s="23"/>
      <c r="AB35" s="23"/>
      <c r="AC35" s="23"/>
      <c r="AD35" s="23"/>
      <c r="AO35" s="1" t="s">
        <v>362</v>
      </c>
      <c r="AP35" s="1">
        <f>AP30*12</f>
        <v>48</v>
      </c>
      <c r="AV35" s="121">
        <v>0.1</v>
      </c>
      <c r="AW35" s="117">
        <v>16121734.815059423</v>
      </c>
      <c r="AX35" s="117">
        <v>24242810.846722394</v>
      </c>
      <c r="AY35" s="117">
        <v>32610600.730179757</v>
      </c>
      <c r="AZ35" s="117">
        <v>41223402.401414484</v>
      </c>
      <c r="BA35" s="117">
        <v>50079047.978321165</v>
      </c>
      <c r="BB35" s="117">
        <v>59174918.738762438</v>
      </c>
      <c r="BJ35" s="1">
        <v>5</v>
      </c>
      <c r="BK35" s="119">
        <v>3568489.5129538099</v>
      </c>
      <c r="BO35" s="26">
        <v>0.1</v>
      </c>
      <c r="BP35" s="119">
        <v>3804387.5152120781</v>
      </c>
    </row>
    <row r="36" spans="1:68">
      <c r="A36" s="30" t="s">
        <v>105</v>
      </c>
      <c r="AJ36" s="1" t="s">
        <v>343</v>
      </c>
      <c r="AK36" s="117">
        <f>-PMT(AK33,AK34,$AK$27,0,0)</f>
        <v>4174612.239971437</v>
      </c>
      <c r="AU36" s="117"/>
      <c r="AV36" s="121">
        <v>0.11</v>
      </c>
      <c r="AW36" s="117">
        <v>17788217.507490218</v>
      </c>
      <c r="AX36" s="126">
        <v>26789072.431811035</v>
      </c>
      <c r="AY36" s="126">
        <v>36087762.802460253</v>
      </c>
      <c r="AZ36" s="126">
        <v>45681807.653789788</v>
      </c>
      <c r="BA36" s="117">
        <v>55568053.207622647</v>
      </c>
      <c r="BB36" s="117">
        <v>65742699.079724342</v>
      </c>
      <c r="BC36" s="117"/>
      <c r="BD36" s="117"/>
      <c r="BE36" s="117"/>
      <c r="BF36" s="117"/>
      <c r="BG36" s="117"/>
      <c r="BH36" s="117"/>
      <c r="BI36" s="117"/>
      <c r="BJ36" s="1">
        <v>6</v>
      </c>
      <c r="BK36" s="119">
        <v>3171752.0003147004</v>
      </c>
      <c r="BL36" s="117"/>
      <c r="BM36" s="117"/>
      <c r="BN36" s="117"/>
      <c r="BO36" s="26">
        <v>0.11</v>
      </c>
      <c r="BP36" s="119">
        <v>3876828.3917179219</v>
      </c>
    </row>
    <row r="37" spans="1:68">
      <c r="A37" s="89"/>
      <c r="B37" s="21" t="s">
        <v>14</v>
      </c>
      <c r="C37" s="21" t="s">
        <v>106</v>
      </c>
      <c r="D37" s="21" t="s">
        <v>16</v>
      </c>
      <c r="E37" s="89"/>
      <c r="AJ37" s="1" t="s">
        <v>357</v>
      </c>
      <c r="AK37" s="122">
        <f>AK36*AK34</f>
        <v>200381387.51862898</v>
      </c>
      <c r="AL37" s="117"/>
      <c r="AM37" s="124"/>
      <c r="AN37" s="117"/>
      <c r="AO37" s="117" t="s">
        <v>343</v>
      </c>
      <c r="AP37" s="117">
        <f>-PMT(AP34,AP35,AP28,0,0)</f>
        <v>4174612.239971437</v>
      </c>
      <c r="AQ37" s="117"/>
      <c r="AR37" s="117"/>
      <c r="AS37" s="117"/>
      <c r="AT37" s="117"/>
      <c r="AV37" s="121">
        <v>0.12</v>
      </c>
      <c r="AW37" s="117">
        <v>19464500.003752947</v>
      </c>
      <c r="AX37" s="126">
        <v>29357272.989396453</v>
      </c>
      <c r="AY37" s="126">
        <v>39603615.109879911</v>
      </c>
      <c r="AZ37" s="126">
        <v>50200029.164115995</v>
      </c>
      <c r="BA37" s="117">
        <v>61142079.029149652</v>
      </c>
      <c r="BB37" s="117">
        <v>72424433.243130118</v>
      </c>
      <c r="BJ37" s="1">
        <v>7</v>
      </c>
      <c r="BK37" s="119">
        <v>2894513.2103072251</v>
      </c>
      <c r="BO37" s="26">
        <v>0.12</v>
      </c>
      <c r="BP37" s="119">
        <v>3950075.3147891648</v>
      </c>
    </row>
    <row r="38" spans="1:68">
      <c r="A38" s="89"/>
      <c r="B38" s="89" t="s">
        <v>17</v>
      </c>
      <c r="C38" s="89">
        <v>15</v>
      </c>
      <c r="D38" s="89" t="s">
        <v>18</v>
      </c>
      <c r="E38" s="89">
        <v>4</v>
      </c>
      <c r="AL38" s="117"/>
      <c r="AM38" s="117"/>
      <c r="AN38" s="117"/>
      <c r="AO38" s="117" t="s">
        <v>357</v>
      </c>
      <c r="AP38" s="117">
        <f>AP37*AP35</f>
        <v>200381387.51862898</v>
      </c>
      <c r="AQ38" s="117"/>
      <c r="AR38" s="117"/>
      <c r="AS38" s="117"/>
      <c r="AT38" s="117"/>
      <c r="AU38" s="117"/>
      <c r="AV38" s="121">
        <v>0.13</v>
      </c>
      <c r="AW38" s="117">
        <v>21150561.318423629</v>
      </c>
      <c r="AX38" s="126">
        <v>31947340.817775607</v>
      </c>
      <c r="AY38" s="126">
        <v>43157970.435107261</v>
      </c>
      <c r="AZ38" s="126">
        <v>54777657.398016214</v>
      </c>
      <c r="BA38" s="117">
        <v>66800336.229601353</v>
      </c>
      <c r="BB38" s="117">
        <v>79218738.194573492</v>
      </c>
      <c r="BC38" s="117"/>
      <c r="BD38" s="117"/>
      <c r="BE38" s="117"/>
      <c r="BF38" s="117"/>
      <c r="BG38" s="117"/>
      <c r="BH38" s="117"/>
      <c r="BI38" s="117"/>
      <c r="BJ38" s="1">
        <v>8</v>
      </c>
      <c r="BK38" s="119">
        <v>2691810.7965068757</v>
      </c>
      <c r="BL38" s="117"/>
      <c r="BM38" s="117"/>
      <c r="BN38" s="117"/>
      <c r="BO38" s="26">
        <v>0.13</v>
      </c>
      <c r="BP38" s="119">
        <v>4024124.3840647344</v>
      </c>
    </row>
    <row r="39" spans="1:68">
      <c r="A39" s="89"/>
      <c r="B39" s="89"/>
      <c r="C39" s="89"/>
      <c r="D39" s="89"/>
      <c r="E39" s="89"/>
      <c r="AJ39" s="1" t="s">
        <v>358</v>
      </c>
      <c r="AK39" s="122">
        <f>AK37-AK27</f>
        <v>50381387.518628985</v>
      </c>
      <c r="AM39" s="119"/>
      <c r="AV39" s="121">
        <v>0.14000000000000001</v>
      </c>
      <c r="AW39" s="117">
        <v>22846379.766197234</v>
      </c>
      <c r="AX39" s="126">
        <v>34559200.693338335</v>
      </c>
      <c r="AY39" s="126">
        <v>46750630.764337778</v>
      </c>
      <c r="AZ39" s="126">
        <v>59414257.644489259</v>
      </c>
      <c r="BA39" s="117">
        <v>72541986.409618318</v>
      </c>
      <c r="BB39" s="117">
        <v>86124146.229667068</v>
      </c>
      <c r="BJ39" s="1">
        <v>9</v>
      </c>
      <c r="BK39" s="119">
        <v>2538650.5937052821</v>
      </c>
      <c r="BO39" s="26">
        <v>0.14000000000000001</v>
      </c>
      <c r="BP39" s="119">
        <v>4098971.474257037</v>
      </c>
    </row>
    <row r="40" spans="1:68">
      <c r="A40" s="89"/>
      <c r="B40" s="89"/>
      <c r="C40" s="89"/>
      <c r="D40" s="89"/>
      <c r="E40" s="89"/>
      <c r="AO40" s="1" t="s">
        <v>358</v>
      </c>
      <c r="AP40" s="119">
        <f>AP38-AP28</f>
        <v>50381387.518628985</v>
      </c>
      <c r="AQ40" s="119"/>
      <c r="AR40" s="119"/>
      <c r="AS40" s="119"/>
      <c r="AV40" s="121">
        <v>0.15</v>
      </c>
      <c r="AW40" s="117">
        <v>24551932.969023645</v>
      </c>
      <c r="AX40" s="126">
        <v>37192773.922648311</v>
      </c>
      <c r="AY40" s="126">
        <v>50381387.518628985</v>
      </c>
      <c r="AZ40" s="126">
        <v>64109370.777228594</v>
      </c>
      <c r="BA40" s="117">
        <v>78366144.022658437</v>
      </c>
      <c r="BB40" s="117">
        <v>93139109.665806919</v>
      </c>
      <c r="BJ40" s="1">
        <v>10</v>
      </c>
      <c r="BK40" s="119">
        <v>2420024.3561147335</v>
      </c>
      <c r="BO40" s="26">
        <v>0.15</v>
      </c>
      <c r="BP40" s="119">
        <v>4174612.239971437</v>
      </c>
    </row>
    <row r="41" spans="1:68">
      <c r="A41" s="89"/>
      <c r="B41" s="89" t="s">
        <v>19</v>
      </c>
      <c r="C41" s="89">
        <v>18</v>
      </c>
      <c r="D41" s="89" t="s">
        <v>20</v>
      </c>
      <c r="E41" s="89">
        <v>5</v>
      </c>
      <c r="AV41" s="121">
        <v>0.16</v>
      </c>
      <c r="AW41" s="117">
        <v>26267197.863396168</v>
      </c>
      <c r="AX41" s="126">
        <v>39847978.396290511</v>
      </c>
      <c r="AY41" s="126">
        <v>54050021.794501483</v>
      </c>
      <c r="AZ41" s="126">
        <v>68862514.047232181</v>
      </c>
      <c r="BA41" s="117">
        <v>84271878.492408067</v>
      </c>
      <c r="BB41" s="117">
        <v>100262005.68983901</v>
      </c>
      <c r="BJ41" s="1">
        <v>11</v>
      </c>
      <c r="BK41" s="119">
        <v>2326372.4359717355</v>
      </c>
      <c r="BO41" s="26">
        <v>0.16</v>
      </c>
      <c r="BP41" s="119">
        <v>4251042.1207187809</v>
      </c>
    </row>
    <row r="42" spans="1:68">
      <c r="A42" s="89"/>
      <c r="B42" s="89" t="s">
        <v>21</v>
      </c>
      <c r="C42" s="89">
        <v>13</v>
      </c>
      <c r="D42" s="89" t="s">
        <v>22</v>
      </c>
      <c r="E42" s="89">
        <v>3</v>
      </c>
      <c r="AV42" s="121">
        <v>0.17</v>
      </c>
      <c r="AW42" s="117">
        <v>27992150.707787782</v>
      </c>
      <c r="AX42" s="126">
        <v>42524728.64442122</v>
      </c>
      <c r="AY42" s="126">
        <v>57756304.613296241</v>
      </c>
      <c r="AZ42" s="126">
        <v>73673181.904176921</v>
      </c>
      <c r="BA42" s="117">
        <v>90258216.399386764</v>
      </c>
      <c r="BB42" s="117">
        <v>107491141.3338013</v>
      </c>
      <c r="BO42" s="26">
        <v>0.17</v>
      </c>
      <c r="BP42" s="119">
        <v>4328256.3461103383</v>
      </c>
    </row>
    <row r="43" spans="1:68">
      <c r="A43" s="89"/>
      <c r="B43" s="89"/>
      <c r="C43" s="89"/>
      <c r="D43" s="89"/>
      <c r="E43" s="89"/>
      <c r="R43" s="32"/>
      <c r="S43" s="32"/>
      <c r="T43" s="32"/>
      <c r="U43" s="32"/>
      <c r="V43" s="32"/>
      <c r="W43" s="32"/>
      <c r="X43" s="32"/>
      <c r="Y43" s="32"/>
      <c r="Z43" s="32"/>
      <c r="AA43" s="32"/>
      <c r="AK43" s="118"/>
      <c r="AV43" s="121">
        <v>0.18</v>
      </c>
      <c r="AW43" s="117">
        <v>29726767.090231389</v>
      </c>
      <c r="AX43" s="126">
        <v>45222935.893950939</v>
      </c>
      <c r="AY43" s="126">
        <v>61499997.17876792</v>
      </c>
      <c r="AZ43" s="126">
        <v>78540846.843981773</v>
      </c>
      <c r="BA43" s="117">
        <v>96324143.72731474</v>
      </c>
      <c r="BB43" s="117">
        <v>114824758.55098996</v>
      </c>
      <c r="BO43" s="26">
        <v>0.18</v>
      </c>
      <c r="BP43" s="119">
        <v>4406249.941224332</v>
      </c>
    </row>
    <row r="44" spans="1:68">
      <c r="A44" s="1" t="s">
        <v>107</v>
      </c>
      <c r="AK44" s="118"/>
      <c r="AV44" s="121">
        <v>0.19</v>
      </c>
      <c r="AW44" s="117">
        <v>31471021.936039567</v>
      </c>
      <c r="AX44" s="126">
        <v>47942508.12729153</v>
      </c>
      <c r="AY44" s="126">
        <v>65280851.142381817</v>
      </c>
      <c r="AZ44" s="126">
        <v>83464960.279952139</v>
      </c>
      <c r="BA44" s="117">
        <v>102468608.15978155</v>
      </c>
      <c r="BB44" s="117">
        <v>122261039.36492014</v>
      </c>
      <c r="BO44" s="26">
        <v>0.19</v>
      </c>
      <c r="BP44" s="119">
        <v>4485017.7321329545</v>
      </c>
    </row>
    <row r="45" spans="1:68">
      <c r="F45" s="32" t="s">
        <v>108</v>
      </c>
      <c r="G45" s="32"/>
      <c r="H45" s="32"/>
      <c r="I45" s="32"/>
      <c r="AB45" s="32"/>
      <c r="AC45" s="32"/>
      <c r="AD45" s="32"/>
      <c r="AO45" s="141" t="s">
        <v>376</v>
      </c>
      <c r="AP45" s="142" t="s">
        <v>369</v>
      </c>
      <c r="AQ45" s="142" t="s">
        <v>363</v>
      </c>
      <c r="AR45" s="142" t="s">
        <v>364</v>
      </c>
      <c r="AS45" s="142" t="s">
        <v>365</v>
      </c>
      <c r="AT45" s="142" t="s">
        <v>366</v>
      </c>
    </row>
    <row r="46" spans="1:68">
      <c r="AO46" s="143" t="s">
        <v>374</v>
      </c>
      <c r="AP46" s="144">
        <v>0.15</v>
      </c>
      <c r="AQ46" s="145">
        <v>0.15</v>
      </c>
      <c r="AR46" s="145">
        <v>0.15</v>
      </c>
      <c r="AS46" s="145">
        <v>0.18</v>
      </c>
      <c r="AT46" s="145">
        <v>0.13</v>
      </c>
    </row>
    <row r="47" spans="1:68">
      <c r="AO47" s="143" t="s">
        <v>341</v>
      </c>
      <c r="AP47" s="146">
        <v>4</v>
      </c>
      <c r="AQ47" s="147">
        <v>4</v>
      </c>
      <c r="AR47" s="147">
        <v>4</v>
      </c>
      <c r="AS47" s="147">
        <v>5</v>
      </c>
      <c r="AT47" s="147">
        <v>3</v>
      </c>
    </row>
    <row r="48" spans="1:68">
      <c r="AO48" s="143" t="s">
        <v>375</v>
      </c>
      <c r="AP48" s="148">
        <v>50381387.518629</v>
      </c>
      <c r="AQ48" s="148">
        <v>50381387.518629</v>
      </c>
      <c r="AR48" s="148">
        <v>50381387.518629</v>
      </c>
      <c r="AS48" s="148">
        <v>78540846.843981802</v>
      </c>
      <c r="AT48" s="148">
        <v>31947340.8177756</v>
      </c>
    </row>
    <row r="53" spans="41:53">
      <c r="AO53" s="1" t="s">
        <v>359</v>
      </c>
      <c r="AP53" s="117">
        <v>150000000</v>
      </c>
      <c r="AQ53" s="119">
        <f>AP53</f>
        <v>150000000</v>
      </c>
    </row>
    <row r="54" spans="41:53">
      <c r="AO54" s="1" t="s">
        <v>360</v>
      </c>
      <c r="AP54" s="26">
        <v>0.13</v>
      </c>
      <c r="AQ54" s="26">
        <f>AP54</f>
        <v>0.13</v>
      </c>
    </row>
    <row r="55" spans="41:53">
      <c r="AO55" s="1" t="s">
        <v>341</v>
      </c>
      <c r="AP55" s="1">
        <v>3</v>
      </c>
      <c r="AQ55" s="1">
        <f>AP55</f>
        <v>3</v>
      </c>
    </row>
    <row r="57" spans="41:53" ht="16.5">
      <c r="AO57" s="1" t="s">
        <v>342</v>
      </c>
      <c r="AP57" s="1" t="s">
        <v>348</v>
      </c>
      <c r="AS57" s="165" t="s">
        <v>414</v>
      </c>
    </row>
    <row r="58" spans="41:53">
      <c r="AO58" s="1" t="s">
        <v>382</v>
      </c>
      <c r="AP58" s="1" t="s">
        <v>383</v>
      </c>
      <c r="AQ58" s="1" t="s">
        <v>386</v>
      </c>
      <c r="AY58" s="1" t="s">
        <v>387</v>
      </c>
    </row>
    <row r="59" spans="41:53">
      <c r="AO59" s="1" t="s">
        <v>361</v>
      </c>
      <c r="AP59" s="1">
        <f>AP54/12</f>
        <v>1.0833333333333334E-2</v>
      </c>
      <c r="AQ59" s="1">
        <f>AP59</f>
        <v>1.0833333333333334E-2</v>
      </c>
    </row>
    <row r="60" spans="41:53">
      <c r="AO60" s="1" t="s">
        <v>362</v>
      </c>
      <c r="AP60" s="1">
        <f>AP55*12</f>
        <v>36</v>
      </c>
      <c r="AQ60" s="1">
        <f>AP60</f>
        <v>36</v>
      </c>
      <c r="BA60" s="1">
        <f>13%/12</f>
        <v>1.0833333333333334E-2</v>
      </c>
    </row>
    <row r="62" spans="41:53">
      <c r="AO62" s="117" t="s">
        <v>343</v>
      </c>
      <c r="AP62" s="117">
        <f>-PMT(AP59,AP60,AP53,0,0)</f>
        <v>5054092.8004937666</v>
      </c>
      <c r="AQ62" s="117">
        <f>-PMT(AQ59,AQ60,AQ53,0,1)</f>
        <v>4999926.9254678646</v>
      </c>
      <c r="AR62" s="125"/>
      <c r="AS62" s="1" t="s">
        <v>384</v>
      </c>
    </row>
    <row r="63" spans="41:53">
      <c r="AS63" s="1" t="s">
        <v>385</v>
      </c>
    </row>
    <row r="65" spans="42:55">
      <c r="AP65" s="1" t="s">
        <v>377</v>
      </c>
      <c r="AQ65" s="1" t="s">
        <v>378</v>
      </c>
      <c r="AR65" s="1" t="s">
        <v>343</v>
      </c>
      <c r="AS65" s="1" t="s">
        <v>379</v>
      </c>
      <c r="AT65" s="1" t="s">
        <v>380</v>
      </c>
      <c r="AU65" s="1" t="s">
        <v>381</v>
      </c>
      <c r="AV65" s="1" t="s">
        <v>415</v>
      </c>
      <c r="AX65" s="1" t="s">
        <v>377</v>
      </c>
      <c r="AY65" s="1" t="s">
        <v>378</v>
      </c>
      <c r="AZ65" s="1" t="s">
        <v>343</v>
      </c>
      <c r="BA65" s="1" t="s">
        <v>379</v>
      </c>
      <c r="BB65" s="1" t="s">
        <v>380</v>
      </c>
      <c r="BC65" s="1" t="s">
        <v>381</v>
      </c>
    </row>
    <row r="66" spans="42:55">
      <c r="AP66" s="1">
        <v>1</v>
      </c>
      <c r="AQ66" s="119">
        <f>AP53</f>
        <v>150000000</v>
      </c>
      <c r="AR66" s="119">
        <f>$AP$62</f>
        <v>5054092.8004937666</v>
      </c>
      <c r="AS66" s="119">
        <f>-IPMT($AQ$59,AP66,$AQ$60,$AQ$53,0,0)</f>
        <v>1625000</v>
      </c>
      <c r="AT66" s="119">
        <f>AR66-AS66</f>
        <v>3429092.8004937666</v>
      </c>
      <c r="AU66" s="119">
        <f>AQ66-AT66</f>
        <v>146570907.19950622</v>
      </c>
      <c r="AV66" s="166">
        <f>AU66/150000000</f>
        <v>0.97713938133004152</v>
      </c>
      <c r="AX66" s="1">
        <v>1</v>
      </c>
      <c r="AY66" s="119">
        <f>AQ53</f>
        <v>150000000</v>
      </c>
      <c r="AZ66" s="119">
        <f>$AQ$62</f>
        <v>4999926.9254678646</v>
      </c>
      <c r="BA66" s="1">
        <v>0</v>
      </c>
      <c r="BB66" s="119">
        <f>AZ66-BA66</f>
        <v>4999926.9254678646</v>
      </c>
      <c r="BC66" s="119">
        <f>AY66-BB66</f>
        <v>145000073.07453212</v>
      </c>
    </row>
    <row r="67" spans="42:55">
      <c r="AP67" s="1">
        <v>2</v>
      </c>
      <c r="AQ67" s="119">
        <f>AU66</f>
        <v>146570907.19950622</v>
      </c>
      <c r="AR67" s="119">
        <f t="shared" ref="AR67:AR101" si="10">$AP$62</f>
        <v>5054092.8004937666</v>
      </c>
      <c r="AS67" s="119">
        <f t="shared" ref="AS67:AS101" si="11">-IPMT($AQ$59,AP67,$AQ$60,$AQ$53,0,0)</f>
        <v>1587851.4946613179</v>
      </c>
      <c r="AT67" s="119">
        <f t="shared" ref="AT67:AT101" si="12">AR67-AS67</f>
        <v>3466241.3058324484</v>
      </c>
      <c r="AU67" s="119">
        <f t="shared" ref="AU67:AU101" si="13">AQ67-AT67</f>
        <v>143104665.89367378</v>
      </c>
      <c r="AV67" s="166">
        <f t="shared" ref="AV67:AV101" si="14">AU67/150000000</f>
        <v>0.95403110595782514</v>
      </c>
      <c r="AX67" s="1">
        <v>2</v>
      </c>
      <c r="AY67" s="119">
        <f>BC66</f>
        <v>145000073.07453212</v>
      </c>
      <c r="AZ67" s="119">
        <f t="shared" ref="AZ67:AZ101" si="15">$AQ$62</f>
        <v>4999926.9254678646</v>
      </c>
      <c r="BA67" s="119">
        <f>$BA$60*AY67</f>
        <v>1570834.1249740981</v>
      </c>
      <c r="BB67" s="119">
        <f t="shared" ref="BB67:BB101" si="16">AZ67-BA67</f>
        <v>3429092.8004937666</v>
      </c>
      <c r="BC67" s="119">
        <f t="shared" ref="BC67:BC101" si="17">AY67-BB67</f>
        <v>141570980.27403834</v>
      </c>
    </row>
    <row r="68" spans="42:55">
      <c r="AP68" s="1">
        <v>3</v>
      </c>
      <c r="AQ68" s="119">
        <f t="shared" ref="AQ68:AQ101" si="18">AU67</f>
        <v>143104665.89367378</v>
      </c>
      <c r="AR68" s="119">
        <f t="shared" si="10"/>
        <v>5054092.8004937666</v>
      </c>
      <c r="AS68" s="119">
        <f t="shared" si="11"/>
        <v>1550300.5471814664</v>
      </c>
      <c r="AT68" s="119">
        <f t="shared" si="12"/>
        <v>3503792.2533123</v>
      </c>
      <c r="AU68" s="119">
        <f t="shared" si="13"/>
        <v>139600873.64036149</v>
      </c>
      <c r="AV68" s="166">
        <f t="shared" si="14"/>
        <v>0.93067249093574322</v>
      </c>
      <c r="AX68" s="1">
        <v>3</v>
      </c>
      <c r="AY68" s="119">
        <f t="shared" ref="AY68:AY101" si="19">BC67</f>
        <v>141570980.27403834</v>
      </c>
      <c r="AZ68" s="119">
        <f t="shared" si="15"/>
        <v>4999926.9254678646</v>
      </c>
      <c r="BA68" s="119">
        <f t="shared" ref="BA68:BA101" si="20">$BA$60*AY68</f>
        <v>1533685.6196354155</v>
      </c>
      <c r="BB68" s="119">
        <f t="shared" si="16"/>
        <v>3466241.3058324493</v>
      </c>
      <c r="BC68" s="119">
        <f t="shared" si="17"/>
        <v>138104738.9682059</v>
      </c>
    </row>
    <row r="69" spans="42:55">
      <c r="AP69" s="1">
        <v>4</v>
      </c>
      <c r="AQ69" s="119">
        <f t="shared" si="18"/>
        <v>139600873.64036149</v>
      </c>
      <c r="AR69" s="119">
        <f t="shared" si="10"/>
        <v>5054092.8004937666</v>
      </c>
      <c r="AS69" s="119">
        <f t="shared" si="11"/>
        <v>1512342.7977705828</v>
      </c>
      <c r="AT69" s="119">
        <f t="shared" si="12"/>
        <v>3541750.0027231835</v>
      </c>
      <c r="AU69" s="119">
        <f t="shared" si="13"/>
        <v>136059123.6376383</v>
      </c>
      <c r="AV69" s="166">
        <f t="shared" si="14"/>
        <v>0.90706082425092205</v>
      </c>
      <c r="AX69" s="1">
        <v>4</v>
      </c>
      <c r="AY69" s="119">
        <f t="shared" si="19"/>
        <v>138104738.9682059</v>
      </c>
      <c r="AZ69" s="119">
        <f t="shared" si="15"/>
        <v>4999926.9254678646</v>
      </c>
      <c r="BA69" s="119">
        <f t="shared" si="20"/>
        <v>1496134.672155564</v>
      </c>
      <c r="BB69" s="119">
        <f t="shared" si="16"/>
        <v>3503792.2533123009</v>
      </c>
      <c r="BC69" s="119">
        <f t="shared" si="17"/>
        <v>134600946.71489361</v>
      </c>
    </row>
    <row r="70" spans="42:55">
      <c r="AP70" s="1">
        <v>5</v>
      </c>
      <c r="AQ70" s="119">
        <f t="shared" si="18"/>
        <v>136059123.6376383</v>
      </c>
      <c r="AR70" s="119">
        <f t="shared" si="10"/>
        <v>5054092.8004937666</v>
      </c>
      <c r="AS70" s="119">
        <f t="shared" si="11"/>
        <v>1473973.8394077483</v>
      </c>
      <c r="AT70" s="119">
        <f t="shared" si="12"/>
        <v>3580118.961086018</v>
      </c>
      <c r="AU70" s="119">
        <f t="shared" si="13"/>
        <v>132479004.67655228</v>
      </c>
      <c r="AV70" s="166">
        <f t="shared" si="14"/>
        <v>0.88319336451034858</v>
      </c>
      <c r="AX70" s="1">
        <v>5</v>
      </c>
      <c r="AY70" s="119">
        <f t="shared" si="19"/>
        <v>134600946.71489361</v>
      </c>
      <c r="AZ70" s="119">
        <f t="shared" si="15"/>
        <v>4999926.9254678646</v>
      </c>
      <c r="BA70" s="119">
        <f t="shared" si="20"/>
        <v>1458176.9227446809</v>
      </c>
      <c r="BB70" s="119">
        <f t="shared" si="16"/>
        <v>3541750.0027231835</v>
      </c>
      <c r="BC70" s="119">
        <f t="shared" si="17"/>
        <v>131059196.71217042</v>
      </c>
    </row>
    <row r="71" spans="42:55">
      <c r="AP71" s="1">
        <v>6</v>
      </c>
      <c r="AQ71" s="119">
        <f t="shared" si="18"/>
        <v>132479004.67655228</v>
      </c>
      <c r="AR71" s="119">
        <f t="shared" si="10"/>
        <v>5054092.8004937666</v>
      </c>
      <c r="AS71" s="119">
        <f t="shared" si="11"/>
        <v>1435189.2173293165</v>
      </c>
      <c r="AT71" s="119">
        <f t="shared" si="12"/>
        <v>3618903.5831644498</v>
      </c>
      <c r="AU71" s="119">
        <f t="shared" si="13"/>
        <v>128860101.09338783</v>
      </c>
      <c r="AV71" s="166">
        <f t="shared" si="14"/>
        <v>0.8590673406225855</v>
      </c>
      <c r="AX71" s="1">
        <v>6</v>
      </c>
      <c r="AY71" s="119">
        <f t="shared" si="19"/>
        <v>131059196.71217042</v>
      </c>
      <c r="AZ71" s="119">
        <f t="shared" si="15"/>
        <v>4999926.9254678646</v>
      </c>
      <c r="BA71" s="119">
        <f t="shared" si="20"/>
        <v>1419807.9643818464</v>
      </c>
      <c r="BB71" s="119">
        <f t="shared" si="16"/>
        <v>3580118.961086018</v>
      </c>
      <c r="BC71" s="119">
        <f t="shared" si="17"/>
        <v>127479077.7510844</v>
      </c>
    </row>
    <row r="72" spans="42:55">
      <c r="AP72" s="1">
        <v>7</v>
      </c>
      <c r="AQ72" s="119">
        <f t="shared" si="18"/>
        <v>128860101.09338783</v>
      </c>
      <c r="AR72" s="119">
        <f t="shared" si="10"/>
        <v>5054092.8004937666</v>
      </c>
      <c r="AS72" s="119">
        <f t="shared" si="11"/>
        <v>1395984.4285117018</v>
      </c>
      <c r="AT72" s="119">
        <f t="shared" si="12"/>
        <v>3658108.371982065</v>
      </c>
      <c r="AU72" s="119">
        <f t="shared" si="13"/>
        <v>125201992.72140576</v>
      </c>
      <c r="AV72" s="166">
        <f t="shared" si="14"/>
        <v>0.83467995147603835</v>
      </c>
      <c r="AX72" s="1">
        <v>7</v>
      </c>
      <c r="AY72" s="119">
        <f t="shared" si="19"/>
        <v>127479077.7510844</v>
      </c>
      <c r="AZ72" s="119">
        <f t="shared" si="15"/>
        <v>4999926.9254678646</v>
      </c>
      <c r="BA72" s="119">
        <f t="shared" si="20"/>
        <v>1381023.3423034144</v>
      </c>
      <c r="BB72" s="119">
        <f t="shared" si="16"/>
        <v>3618903.5831644502</v>
      </c>
      <c r="BC72" s="119">
        <f t="shared" si="17"/>
        <v>123860174.16791995</v>
      </c>
    </row>
    <row r="73" spans="42:55">
      <c r="AP73" s="1">
        <v>8</v>
      </c>
      <c r="AQ73" s="119">
        <f t="shared" si="18"/>
        <v>125201992.72140576</v>
      </c>
      <c r="AR73" s="119">
        <f t="shared" si="10"/>
        <v>5054092.8004937666</v>
      </c>
      <c r="AS73" s="119">
        <f t="shared" si="11"/>
        <v>1356354.9211485628</v>
      </c>
      <c r="AT73" s="119">
        <f t="shared" si="12"/>
        <v>3697737.8793452037</v>
      </c>
      <c r="AU73" s="119">
        <f t="shared" si="13"/>
        <v>121504254.84206055</v>
      </c>
      <c r="AV73" s="166">
        <f t="shared" si="14"/>
        <v>0.81002836561373703</v>
      </c>
      <c r="AX73" s="1">
        <v>8</v>
      </c>
      <c r="AY73" s="119">
        <f t="shared" si="19"/>
        <v>123860174.16791995</v>
      </c>
      <c r="AZ73" s="119">
        <f t="shared" si="15"/>
        <v>4999926.9254678646</v>
      </c>
      <c r="BA73" s="119">
        <f t="shared" si="20"/>
        <v>1341818.5534857996</v>
      </c>
      <c r="BB73" s="119">
        <f t="shared" si="16"/>
        <v>3658108.371982065</v>
      </c>
      <c r="BC73" s="119">
        <f t="shared" si="17"/>
        <v>120202065.79593788</v>
      </c>
    </row>
    <row r="74" spans="42:55">
      <c r="AP74" s="1">
        <v>9</v>
      </c>
      <c r="AQ74" s="119">
        <f t="shared" si="18"/>
        <v>121504254.84206055</v>
      </c>
      <c r="AR74" s="119">
        <f t="shared" si="10"/>
        <v>5054092.8004937666</v>
      </c>
      <c r="AS74" s="119">
        <f t="shared" si="11"/>
        <v>1316296.094122323</v>
      </c>
      <c r="AT74" s="119">
        <f t="shared" si="12"/>
        <v>3737796.7063714433</v>
      </c>
      <c r="AU74" s="119">
        <f t="shared" si="13"/>
        <v>117766458.13568911</v>
      </c>
      <c r="AV74" s="166">
        <f t="shared" si="14"/>
        <v>0.78510972090459408</v>
      </c>
      <c r="AX74" s="1">
        <v>9</v>
      </c>
      <c r="AY74" s="119">
        <f t="shared" si="19"/>
        <v>120202065.79593788</v>
      </c>
      <c r="AZ74" s="119">
        <f t="shared" si="15"/>
        <v>4999926.9254678646</v>
      </c>
      <c r="BA74" s="119">
        <f t="shared" si="20"/>
        <v>1302189.0461226604</v>
      </c>
      <c r="BB74" s="119">
        <f t="shared" si="16"/>
        <v>3697737.8793452042</v>
      </c>
      <c r="BC74" s="119">
        <f t="shared" si="17"/>
        <v>116504327.91659267</v>
      </c>
    </row>
    <row r="75" spans="42:55">
      <c r="AP75" s="1">
        <v>10</v>
      </c>
      <c r="AQ75" s="119">
        <f t="shared" si="18"/>
        <v>117766458.13568911</v>
      </c>
      <c r="AR75" s="119">
        <f t="shared" si="10"/>
        <v>5054092.8004937666</v>
      </c>
      <c r="AS75" s="119">
        <f t="shared" si="11"/>
        <v>1275803.2964699659</v>
      </c>
      <c r="AT75" s="119">
        <f t="shared" si="12"/>
        <v>3778289.5040238006</v>
      </c>
      <c r="AU75" s="119">
        <f t="shared" si="13"/>
        <v>113988168.6316653</v>
      </c>
      <c r="AV75" s="166">
        <f t="shared" si="14"/>
        <v>0.75992112421110203</v>
      </c>
      <c r="AX75" s="1">
        <v>10</v>
      </c>
      <c r="AY75" s="119">
        <f t="shared" si="19"/>
        <v>116504327.91659267</v>
      </c>
      <c r="AZ75" s="119">
        <f t="shared" si="15"/>
        <v>4999926.9254678646</v>
      </c>
      <c r="BA75" s="119">
        <f t="shared" si="20"/>
        <v>1262130.2190964206</v>
      </c>
      <c r="BB75" s="119">
        <f t="shared" si="16"/>
        <v>3737796.7063714443</v>
      </c>
      <c r="BC75" s="119">
        <f t="shared" si="17"/>
        <v>112766531.21022123</v>
      </c>
    </row>
    <row r="76" spans="42:55">
      <c r="AP76" s="1">
        <v>11</v>
      </c>
      <c r="AQ76" s="119">
        <f t="shared" si="18"/>
        <v>113988168.6316653</v>
      </c>
      <c r="AR76" s="119">
        <f t="shared" si="10"/>
        <v>5054092.8004937666</v>
      </c>
      <c r="AS76" s="119">
        <f t="shared" si="11"/>
        <v>1234871.8268430412</v>
      </c>
      <c r="AT76" s="119">
        <f t="shared" si="12"/>
        <v>3819220.9736507256</v>
      </c>
      <c r="AU76" s="119">
        <f t="shared" si="13"/>
        <v>110168947.65801458</v>
      </c>
      <c r="AV76" s="166">
        <f t="shared" si="14"/>
        <v>0.73445965105343058</v>
      </c>
      <c r="AX76" s="1">
        <v>11</v>
      </c>
      <c r="AY76" s="119">
        <f t="shared" si="19"/>
        <v>112766531.21022123</v>
      </c>
      <c r="AZ76" s="119">
        <f t="shared" si="15"/>
        <v>4999926.9254678646</v>
      </c>
      <c r="BA76" s="119">
        <f t="shared" si="20"/>
        <v>1221637.4214440633</v>
      </c>
      <c r="BB76" s="119">
        <f t="shared" si="16"/>
        <v>3778289.5040238015</v>
      </c>
      <c r="BC76" s="119">
        <f t="shared" si="17"/>
        <v>108988241.70619743</v>
      </c>
    </row>
    <row r="77" spans="42:55">
      <c r="AP77" s="1">
        <v>12</v>
      </c>
      <c r="AQ77" s="119">
        <f t="shared" si="18"/>
        <v>110168947.65801458</v>
      </c>
      <c r="AR77" s="119">
        <f t="shared" si="10"/>
        <v>5054092.8004937666</v>
      </c>
      <c r="AS77" s="119">
        <f t="shared" si="11"/>
        <v>1193496.932961825</v>
      </c>
      <c r="AT77" s="119">
        <f t="shared" si="12"/>
        <v>3860595.8675319413</v>
      </c>
      <c r="AU77" s="119">
        <f t="shared" si="13"/>
        <v>106308351.79048264</v>
      </c>
      <c r="AV77" s="166">
        <f t="shared" si="14"/>
        <v>0.70872234526988431</v>
      </c>
      <c r="AX77" s="1">
        <v>12</v>
      </c>
      <c r="AY77" s="119">
        <f t="shared" si="19"/>
        <v>108988241.70619743</v>
      </c>
      <c r="AZ77" s="119">
        <f t="shared" si="15"/>
        <v>4999926.9254678646</v>
      </c>
      <c r="BA77" s="119">
        <f t="shared" si="20"/>
        <v>1180705.9518171388</v>
      </c>
      <c r="BB77" s="119">
        <f t="shared" si="16"/>
        <v>3819220.9736507256</v>
      </c>
      <c r="BC77" s="119">
        <f t="shared" si="17"/>
        <v>105169020.7325467</v>
      </c>
    </row>
    <row r="78" spans="42:55">
      <c r="AP78" s="1">
        <v>13</v>
      </c>
      <c r="AQ78" s="119">
        <f t="shared" si="18"/>
        <v>106308351.79048264</v>
      </c>
      <c r="AR78" s="119">
        <f t="shared" si="10"/>
        <v>5054092.8004937666</v>
      </c>
      <c r="AS78" s="119">
        <f t="shared" si="11"/>
        <v>1151673.8110635625</v>
      </c>
      <c r="AT78" s="119">
        <f t="shared" si="12"/>
        <v>3902418.989430204</v>
      </c>
      <c r="AU78" s="119">
        <f t="shared" si="13"/>
        <v>102405932.80105244</v>
      </c>
      <c r="AV78" s="166">
        <f t="shared" si="14"/>
        <v>0.68270621867368286</v>
      </c>
      <c r="AX78" s="1">
        <v>13</v>
      </c>
      <c r="AY78" s="119">
        <f t="shared" si="19"/>
        <v>105169020.7325467</v>
      </c>
      <c r="AZ78" s="119">
        <f t="shared" si="15"/>
        <v>4999926.9254678646</v>
      </c>
      <c r="BA78" s="119">
        <f t="shared" si="20"/>
        <v>1139331.0579359226</v>
      </c>
      <c r="BB78" s="119">
        <f t="shared" si="16"/>
        <v>3860595.8675319422</v>
      </c>
      <c r="BC78" s="119">
        <f t="shared" si="17"/>
        <v>101308424.86501476</v>
      </c>
    </row>
    <row r="79" spans="42:55">
      <c r="AP79" s="1">
        <v>14</v>
      </c>
      <c r="AQ79" s="119">
        <f t="shared" si="18"/>
        <v>102405932.80105244</v>
      </c>
      <c r="AR79" s="119">
        <f t="shared" si="10"/>
        <v>5054092.8004937666</v>
      </c>
      <c r="AS79" s="119">
        <f t="shared" si="11"/>
        <v>1109397.6053447353</v>
      </c>
      <c r="AT79" s="119">
        <f t="shared" si="12"/>
        <v>3944695.1951490315</v>
      </c>
      <c r="AU79" s="119">
        <f t="shared" si="13"/>
        <v>98461237.605903402</v>
      </c>
      <c r="AV79" s="166">
        <f t="shared" si="14"/>
        <v>0.65640825070602271</v>
      </c>
      <c r="AX79" s="1">
        <v>14</v>
      </c>
      <c r="AY79" s="119">
        <f t="shared" si="19"/>
        <v>101308424.86501476</v>
      </c>
      <c r="AZ79" s="119">
        <f t="shared" si="15"/>
        <v>4999926.9254678646</v>
      </c>
      <c r="BA79" s="119">
        <f t="shared" si="20"/>
        <v>1097507.9360376599</v>
      </c>
      <c r="BB79" s="119">
        <f t="shared" si="16"/>
        <v>3902418.989430205</v>
      </c>
      <c r="BC79" s="119">
        <f t="shared" si="17"/>
        <v>97406005.875584558</v>
      </c>
    </row>
    <row r="80" spans="42:55">
      <c r="AP80" s="1">
        <v>15</v>
      </c>
      <c r="AQ80" s="119">
        <f t="shared" si="18"/>
        <v>98461237.605903402</v>
      </c>
      <c r="AR80" s="119">
        <f t="shared" si="10"/>
        <v>5054092.8004937666</v>
      </c>
      <c r="AS80" s="119">
        <f t="shared" si="11"/>
        <v>1066663.4073972874</v>
      </c>
      <c r="AT80" s="119">
        <f t="shared" si="12"/>
        <v>3987429.3930964791</v>
      </c>
      <c r="AU80" s="119">
        <f t="shared" si="13"/>
        <v>94473808.212806925</v>
      </c>
      <c r="AV80" s="166">
        <f t="shared" si="14"/>
        <v>0.62982538808537947</v>
      </c>
      <c r="AX80" s="1">
        <v>15</v>
      </c>
      <c r="AY80" s="119">
        <f t="shared" si="19"/>
        <v>97406005.875584558</v>
      </c>
      <c r="AZ80" s="119">
        <f t="shared" si="15"/>
        <v>4999926.9254678646</v>
      </c>
      <c r="BA80" s="119">
        <f t="shared" si="20"/>
        <v>1055231.7303188327</v>
      </c>
      <c r="BB80" s="119">
        <f t="shared" si="16"/>
        <v>3944695.1951490319</v>
      </c>
      <c r="BC80" s="119">
        <f t="shared" si="17"/>
        <v>93461310.680435523</v>
      </c>
    </row>
    <row r="81" spans="42:55">
      <c r="AP81" s="1">
        <v>16</v>
      </c>
      <c r="AQ81" s="119">
        <f t="shared" si="18"/>
        <v>94473808.212806925</v>
      </c>
      <c r="AR81" s="119">
        <f t="shared" si="10"/>
        <v>5054092.8004937666</v>
      </c>
      <c r="AS81" s="119">
        <f t="shared" si="11"/>
        <v>1023466.2556387422</v>
      </c>
      <c r="AT81" s="119">
        <f t="shared" si="12"/>
        <v>4030626.5448550242</v>
      </c>
      <c r="AU81" s="119">
        <f t="shared" si="13"/>
        <v>90443181.667951897</v>
      </c>
      <c r="AV81" s="166">
        <f t="shared" si="14"/>
        <v>0.60295454445301266</v>
      </c>
      <c r="AX81" s="1">
        <v>16</v>
      </c>
      <c r="AY81" s="119">
        <f t="shared" si="19"/>
        <v>93461310.680435523</v>
      </c>
      <c r="AZ81" s="119">
        <f t="shared" si="15"/>
        <v>4999926.9254678646</v>
      </c>
      <c r="BA81" s="119">
        <f t="shared" si="20"/>
        <v>1012497.5323713849</v>
      </c>
      <c r="BB81" s="119">
        <f t="shared" si="16"/>
        <v>3987429.3930964796</v>
      </c>
      <c r="BC81" s="119">
        <f t="shared" si="17"/>
        <v>89473881.287339047</v>
      </c>
    </row>
    <row r="82" spans="42:55">
      <c r="AP82" s="1">
        <v>17</v>
      </c>
      <c r="AQ82" s="119">
        <f t="shared" si="18"/>
        <v>90443181.667951897</v>
      </c>
      <c r="AR82" s="119">
        <f t="shared" si="10"/>
        <v>5054092.8004937666</v>
      </c>
      <c r="AS82" s="119">
        <f t="shared" si="11"/>
        <v>979801.13473614608</v>
      </c>
      <c r="AT82" s="119">
        <f t="shared" si="12"/>
        <v>4074291.6657576207</v>
      </c>
      <c r="AU82" s="119">
        <f t="shared" si="13"/>
        <v>86368890.00219427</v>
      </c>
      <c r="AV82" s="166">
        <f t="shared" si="14"/>
        <v>0.57579260001462851</v>
      </c>
      <c r="AX82" s="1">
        <v>17</v>
      </c>
      <c r="AY82" s="119">
        <f t="shared" si="19"/>
        <v>89473881.287339047</v>
      </c>
      <c r="AZ82" s="119">
        <f t="shared" si="15"/>
        <v>4999926.9254678646</v>
      </c>
      <c r="BA82" s="119">
        <f t="shared" si="20"/>
        <v>969300.38061283971</v>
      </c>
      <c r="BB82" s="119">
        <f t="shared" si="16"/>
        <v>4030626.5448550247</v>
      </c>
      <c r="BC82" s="119">
        <f t="shared" si="17"/>
        <v>85443254.742484018</v>
      </c>
    </row>
    <row r="83" spans="42:55">
      <c r="AP83" s="1">
        <v>18</v>
      </c>
      <c r="AQ83" s="119">
        <f t="shared" si="18"/>
        <v>86368890.00219427</v>
      </c>
      <c r="AR83" s="119">
        <f t="shared" si="10"/>
        <v>5054092.8004937666</v>
      </c>
      <c r="AS83" s="119">
        <f t="shared" si="11"/>
        <v>935662.97502377175</v>
      </c>
      <c r="AT83" s="119">
        <f t="shared" si="12"/>
        <v>4118429.8254699949</v>
      </c>
      <c r="AU83" s="119">
        <f t="shared" si="13"/>
        <v>82250460.17672427</v>
      </c>
      <c r="AV83" s="166">
        <f t="shared" si="14"/>
        <v>0.54833640117816185</v>
      </c>
      <c r="AX83" s="1">
        <v>18</v>
      </c>
      <c r="AY83" s="119">
        <f t="shared" si="19"/>
        <v>85443254.742484018</v>
      </c>
      <c r="AZ83" s="119">
        <f t="shared" si="15"/>
        <v>4999926.9254678646</v>
      </c>
      <c r="BA83" s="119">
        <f t="shared" si="20"/>
        <v>925635.25971024355</v>
      </c>
      <c r="BB83" s="119">
        <f t="shared" si="16"/>
        <v>4074291.6657576212</v>
      </c>
      <c r="BC83" s="119">
        <f t="shared" si="17"/>
        <v>81368963.076726392</v>
      </c>
    </row>
    <row r="84" spans="42:55">
      <c r="AP84" s="1">
        <v>19</v>
      </c>
      <c r="AQ84" s="119">
        <f t="shared" si="18"/>
        <v>82250460.17672427</v>
      </c>
      <c r="AR84" s="119">
        <f t="shared" si="10"/>
        <v>5054092.8004937666</v>
      </c>
      <c r="AS84" s="119">
        <f t="shared" si="11"/>
        <v>891046.65191451355</v>
      </c>
      <c r="AT84" s="119">
        <f t="shared" si="12"/>
        <v>4163046.1485792529</v>
      </c>
      <c r="AU84" s="119">
        <f t="shared" si="13"/>
        <v>78087414.028145015</v>
      </c>
      <c r="AV84" s="166">
        <f t="shared" si="14"/>
        <v>0.52058276018763339</v>
      </c>
      <c r="AX84" s="1">
        <v>19</v>
      </c>
      <c r="AY84" s="119">
        <f t="shared" si="19"/>
        <v>81368963.076726392</v>
      </c>
      <c r="AZ84" s="119">
        <f t="shared" si="15"/>
        <v>4999926.9254678646</v>
      </c>
      <c r="BA84" s="119">
        <f t="shared" si="20"/>
        <v>881497.09999786923</v>
      </c>
      <c r="BB84" s="119">
        <f t="shared" si="16"/>
        <v>4118429.8254699954</v>
      </c>
      <c r="BC84" s="119">
        <f t="shared" si="17"/>
        <v>77250533.251256391</v>
      </c>
    </row>
    <row r="85" spans="42:55">
      <c r="AP85" s="1">
        <v>20</v>
      </c>
      <c r="AQ85" s="119">
        <f t="shared" si="18"/>
        <v>78087414.028145015</v>
      </c>
      <c r="AR85" s="119">
        <f t="shared" si="10"/>
        <v>5054092.8004937666</v>
      </c>
      <c r="AS85" s="119">
        <f t="shared" si="11"/>
        <v>845946.98530490487</v>
      </c>
      <c r="AT85" s="119">
        <f t="shared" si="12"/>
        <v>4208145.8151888615</v>
      </c>
      <c r="AU85" s="119">
        <f t="shared" si="13"/>
        <v>73879268.21295616</v>
      </c>
      <c r="AV85" s="166">
        <f t="shared" si="14"/>
        <v>0.49252845475304108</v>
      </c>
      <c r="AX85" s="1">
        <v>20</v>
      </c>
      <c r="AY85" s="119">
        <f t="shared" si="19"/>
        <v>77250533.251256391</v>
      </c>
      <c r="AZ85" s="119">
        <f t="shared" si="15"/>
        <v>4999926.9254678646</v>
      </c>
      <c r="BA85" s="119">
        <f t="shared" si="20"/>
        <v>836880.77688861091</v>
      </c>
      <c r="BB85" s="119">
        <f t="shared" si="16"/>
        <v>4163046.1485792538</v>
      </c>
      <c r="BC85" s="119">
        <f t="shared" si="17"/>
        <v>73087487.102677137</v>
      </c>
    </row>
    <row r="86" spans="42:55">
      <c r="AP86" s="1">
        <v>21</v>
      </c>
      <c r="AQ86" s="119">
        <f t="shared" si="18"/>
        <v>73879268.21295616</v>
      </c>
      <c r="AR86" s="119">
        <f t="shared" si="10"/>
        <v>5054092.8004937666</v>
      </c>
      <c r="AS86" s="119">
        <f t="shared" si="11"/>
        <v>800358.73897369241</v>
      </c>
      <c r="AT86" s="119">
        <f t="shared" si="12"/>
        <v>4253734.0615200745</v>
      </c>
      <c r="AU86" s="119">
        <f t="shared" si="13"/>
        <v>69625534.15143609</v>
      </c>
      <c r="AV86" s="166">
        <f t="shared" si="14"/>
        <v>0.46417022767624061</v>
      </c>
      <c r="AX86" s="1">
        <v>21</v>
      </c>
      <c r="AY86" s="119">
        <f t="shared" si="19"/>
        <v>73087487.102677137</v>
      </c>
      <c r="AZ86" s="119">
        <f t="shared" si="15"/>
        <v>4999926.9254678646</v>
      </c>
      <c r="BA86" s="119">
        <f t="shared" si="20"/>
        <v>791781.11027900234</v>
      </c>
      <c r="BB86" s="119">
        <f t="shared" si="16"/>
        <v>4208145.8151888624</v>
      </c>
      <c r="BC86" s="119">
        <f t="shared" si="17"/>
        <v>68879341.287488282</v>
      </c>
    </row>
    <row r="87" spans="42:55">
      <c r="AP87" s="1">
        <v>22</v>
      </c>
      <c r="AQ87" s="119">
        <f t="shared" si="18"/>
        <v>69625534.15143609</v>
      </c>
      <c r="AR87" s="119">
        <f t="shared" si="10"/>
        <v>5054092.8004937666</v>
      </c>
      <c r="AS87" s="119">
        <f t="shared" si="11"/>
        <v>754276.61997389153</v>
      </c>
      <c r="AT87" s="119">
        <f t="shared" si="12"/>
        <v>4299816.1805198751</v>
      </c>
      <c r="AU87" s="119">
        <f t="shared" si="13"/>
        <v>65325717.970916212</v>
      </c>
      <c r="AV87" s="166">
        <f t="shared" si="14"/>
        <v>0.43550478647277474</v>
      </c>
      <c r="AX87" s="1">
        <v>22</v>
      </c>
      <c r="AY87" s="119">
        <f t="shared" si="19"/>
        <v>68879341.287488282</v>
      </c>
      <c r="AZ87" s="119">
        <f t="shared" si="15"/>
        <v>4999926.9254678646</v>
      </c>
      <c r="BA87" s="119">
        <f t="shared" si="20"/>
        <v>746192.86394778977</v>
      </c>
      <c r="BB87" s="119">
        <f t="shared" si="16"/>
        <v>4253734.0615200745</v>
      </c>
      <c r="BC87" s="119">
        <f t="shared" si="17"/>
        <v>64625607.225968204</v>
      </c>
    </row>
    <row r="88" spans="42:55">
      <c r="AP88" s="1">
        <v>23</v>
      </c>
      <c r="AQ88" s="119">
        <f t="shared" si="18"/>
        <v>65325717.970916212</v>
      </c>
      <c r="AR88" s="119">
        <f t="shared" si="10"/>
        <v>5054092.8004937666</v>
      </c>
      <c r="AS88" s="119">
        <f t="shared" si="11"/>
        <v>707695.27801825944</v>
      </c>
      <c r="AT88" s="119">
        <f t="shared" si="12"/>
        <v>4346397.5224755071</v>
      </c>
      <c r="AU88" s="119">
        <f t="shared" si="13"/>
        <v>60979320.448440701</v>
      </c>
      <c r="AV88" s="166">
        <f t="shared" si="14"/>
        <v>0.4065288029896047</v>
      </c>
      <c r="AX88" s="1">
        <v>23</v>
      </c>
      <c r="AY88" s="119">
        <f t="shared" si="19"/>
        <v>64625607.225968204</v>
      </c>
      <c r="AZ88" s="119">
        <f t="shared" si="15"/>
        <v>4999926.9254678646</v>
      </c>
      <c r="BA88" s="119">
        <f t="shared" si="20"/>
        <v>700110.74494798889</v>
      </c>
      <c r="BB88" s="119">
        <f t="shared" si="16"/>
        <v>4299816.1805198761</v>
      </c>
      <c r="BC88" s="119">
        <f t="shared" si="17"/>
        <v>60325791.045448326</v>
      </c>
    </row>
    <row r="89" spans="42:55">
      <c r="AP89" s="1">
        <v>24</v>
      </c>
      <c r="AQ89" s="119">
        <f t="shared" si="18"/>
        <v>60979320.448440701</v>
      </c>
      <c r="AR89" s="119">
        <f t="shared" si="10"/>
        <v>5054092.8004937666</v>
      </c>
      <c r="AS89" s="119">
        <f t="shared" si="11"/>
        <v>660609.30485810828</v>
      </c>
      <c r="AT89" s="119">
        <f t="shared" si="12"/>
        <v>4393483.4956356585</v>
      </c>
      <c r="AU89" s="119">
        <f t="shared" si="13"/>
        <v>56585836.952805042</v>
      </c>
      <c r="AV89" s="166">
        <f t="shared" si="14"/>
        <v>0.37723891301870027</v>
      </c>
      <c r="AX89" s="1">
        <v>24</v>
      </c>
      <c r="AY89" s="119">
        <f t="shared" si="19"/>
        <v>60325791.045448326</v>
      </c>
      <c r="AZ89" s="119">
        <f t="shared" si="15"/>
        <v>4999926.9254678646</v>
      </c>
      <c r="BA89" s="119">
        <f t="shared" si="20"/>
        <v>653529.40299235692</v>
      </c>
      <c r="BB89" s="119">
        <f t="shared" si="16"/>
        <v>4346397.522475508</v>
      </c>
      <c r="BC89" s="119">
        <f t="shared" si="17"/>
        <v>55979393.522972815</v>
      </c>
    </row>
    <row r="90" spans="42:55">
      <c r="AP90" s="1">
        <v>25</v>
      </c>
      <c r="AQ90" s="119">
        <f t="shared" si="18"/>
        <v>56585836.952805042</v>
      </c>
      <c r="AR90" s="119">
        <f t="shared" si="10"/>
        <v>5054092.8004937666</v>
      </c>
      <c r="AS90" s="119">
        <f t="shared" si="11"/>
        <v>613013.23365538858</v>
      </c>
      <c r="AT90" s="119">
        <f t="shared" si="12"/>
        <v>4441079.5668383781</v>
      </c>
      <c r="AU90" s="119">
        <f t="shared" si="13"/>
        <v>52144757.385966666</v>
      </c>
      <c r="AV90" s="166">
        <f t="shared" si="14"/>
        <v>0.34763171590644443</v>
      </c>
      <c r="AX90" s="1">
        <v>25</v>
      </c>
      <c r="AY90" s="119">
        <f t="shared" si="19"/>
        <v>55979393.522972815</v>
      </c>
      <c r="AZ90" s="119">
        <f t="shared" si="15"/>
        <v>4999926.9254678646</v>
      </c>
      <c r="BA90" s="119">
        <f t="shared" si="20"/>
        <v>606443.42983220553</v>
      </c>
      <c r="BB90" s="119">
        <f t="shared" si="16"/>
        <v>4393483.4956356594</v>
      </c>
      <c r="BC90" s="119">
        <f t="shared" si="17"/>
        <v>51585910.027337156</v>
      </c>
    </row>
    <row r="91" spans="42:55">
      <c r="AP91" s="1">
        <v>26</v>
      </c>
      <c r="AQ91" s="119">
        <f t="shared" si="18"/>
        <v>52144757.385966666</v>
      </c>
      <c r="AR91" s="119">
        <f t="shared" si="10"/>
        <v>5054092.8004937666</v>
      </c>
      <c r="AS91" s="119">
        <f t="shared" si="11"/>
        <v>564901.53834797279</v>
      </c>
      <c r="AT91" s="119">
        <f t="shared" si="12"/>
        <v>4489191.262145794</v>
      </c>
      <c r="AU91" s="119">
        <f t="shared" si="13"/>
        <v>47655566.123820871</v>
      </c>
      <c r="AV91" s="166">
        <f t="shared" si="14"/>
        <v>0.3177037741588058</v>
      </c>
      <c r="AX91" s="1">
        <v>26</v>
      </c>
      <c r="AY91" s="119">
        <f t="shared" si="19"/>
        <v>51585910.027337156</v>
      </c>
      <c r="AZ91" s="119">
        <f t="shared" si="15"/>
        <v>4999926.9254678646</v>
      </c>
      <c r="BA91" s="119">
        <f t="shared" si="20"/>
        <v>558847.35862948583</v>
      </c>
      <c r="BB91" s="119">
        <f t="shared" si="16"/>
        <v>4441079.566838379</v>
      </c>
      <c r="BC91" s="119">
        <f t="shared" si="17"/>
        <v>47144830.46049878</v>
      </c>
    </row>
    <row r="92" spans="42:55">
      <c r="AP92" s="1">
        <v>27</v>
      </c>
      <c r="AQ92" s="119">
        <f t="shared" si="18"/>
        <v>47655566.123820871</v>
      </c>
      <c r="AR92" s="119">
        <f t="shared" si="10"/>
        <v>5054092.8004937666</v>
      </c>
      <c r="AS92" s="119">
        <f t="shared" si="11"/>
        <v>516268.63300806005</v>
      </c>
      <c r="AT92" s="119">
        <f t="shared" si="12"/>
        <v>4537824.1674857065</v>
      </c>
      <c r="AU92" s="119">
        <f t="shared" si="13"/>
        <v>43117741.956335165</v>
      </c>
      <c r="AV92" s="166">
        <f t="shared" si="14"/>
        <v>0.28745161304223443</v>
      </c>
      <c r="AX92" s="1">
        <v>27</v>
      </c>
      <c r="AY92" s="119">
        <f t="shared" si="19"/>
        <v>47144830.46049878</v>
      </c>
      <c r="AZ92" s="119">
        <f t="shared" si="15"/>
        <v>4999926.9254678646</v>
      </c>
      <c r="BA92" s="119">
        <f t="shared" si="20"/>
        <v>510735.66332207015</v>
      </c>
      <c r="BB92" s="119">
        <f t="shared" si="16"/>
        <v>4489191.2621457949</v>
      </c>
      <c r="BC92" s="119">
        <f t="shared" si="17"/>
        <v>42655639.198352985</v>
      </c>
    </row>
    <row r="93" spans="42:55">
      <c r="AP93" s="1">
        <v>28</v>
      </c>
      <c r="AQ93" s="119">
        <f t="shared" si="18"/>
        <v>43117741.956335165</v>
      </c>
      <c r="AR93" s="119">
        <f t="shared" si="10"/>
        <v>5054092.8004937666</v>
      </c>
      <c r="AS93" s="119">
        <f t="shared" si="11"/>
        <v>467108.87119363155</v>
      </c>
      <c r="AT93" s="119">
        <f t="shared" si="12"/>
        <v>4586983.929300135</v>
      </c>
      <c r="AU93" s="119">
        <f t="shared" si="13"/>
        <v>38530758.027035028</v>
      </c>
      <c r="AV93" s="166">
        <f t="shared" si="14"/>
        <v>0.25687172018023352</v>
      </c>
      <c r="AX93" s="1">
        <v>28</v>
      </c>
      <c r="AY93" s="119">
        <f t="shared" si="19"/>
        <v>42655639.198352985</v>
      </c>
      <c r="AZ93" s="119">
        <f t="shared" si="15"/>
        <v>4999926.9254678646</v>
      </c>
      <c r="BA93" s="119">
        <f t="shared" si="20"/>
        <v>462102.75798215735</v>
      </c>
      <c r="BB93" s="119">
        <f t="shared" si="16"/>
        <v>4537824.1674857074</v>
      </c>
      <c r="BC93" s="119">
        <f t="shared" si="17"/>
        <v>38117815.030867279</v>
      </c>
    </row>
    <row r="94" spans="42:55">
      <c r="AP94" s="1">
        <v>29</v>
      </c>
      <c r="AQ94" s="119">
        <f t="shared" si="18"/>
        <v>38530758.027035028</v>
      </c>
      <c r="AR94" s="119">
        <f t="shared" si="10"/>
        <v>5054092.8004937666</v>
      </c>
      <c r="AS94" s="119">
        <f t="shared" si="11"/>
        <v>417416.54529288015</v>
      </c>
      <c r="AT94" s="119">
        <f t="shared" si="12"/>
        <v>4636676.2552008862</v>
      </c>
      <c r="AU94" s="119">
        <f t="shared" si="13"/>
        <v>33894081.771834143</v>
      </c>
      <c r="AV94" s="166">
        <f t="shared" si="14"/>
        <v>0.22596054514556094</v>
      </c>
      <c r="AX94" s="1">
        <v>29</v>
      </c>
      <c r="AY94" s="119">
        <f t="shared" si="19"/>
        <v>38117815.030867279</v>
      </c>
      <c r="AZ94" s="119">
        <f t="shared" si="15"/>
        <v>4999926.9254678646</v>
      </c>
      <c r="BA94" s="119">
        <f t="shared" si="20"/>
        <v>412942.99616772885</v>
      </c>
      <c r="BB94" s="119">
        <f t="shared" si="16"/>
        <v>4586983.9293001359</v>
      </c>
      <c r="BC94" s="119">
        <f t="shared" si="17"/>
        <v>33530831.101567142</v>
      </c>
    </row>
    <row r="95" spans="42:55">
      <c r="AP95" s="1">
        <v>30</v>
      </c>
      <c r="AQ95" s="119">
        <f t="shared" si="18"/>
        <v>33894081.771834143</v>
      </c>
      <c r="AR95" s="119">
        <f t="shared" si="10"/>
        <v>5054092.8004937666</v>
      </c>
      <c r="AS95" s="119">
        <f t="shared" si="11"/>
        <v>367185.88586153713</v>
      </c>
      <c r="AT95" s="119">
        <f t="shared" si="12"/>
        <v>4686906.9146322291</v>
      </c>
      <c r="AU95" s="119">
        <f t="shared" si="13"/>
        <v>29207174.857201912</v>
      </c>
      <c r="AV95" s="166">
        <f t="shared" si="14"/>
        <v>0.19471449904801275</v>
      </c>
      <c r="AX95" s="1">
        <v>30</v>
      </c>
      <c r="AY95" s="119">
        <f t="shared" si="19"/>
        <v>33530831.101567142</v>
      </c>
      <c r="AZ95" s="119">
        <f t="shared" si="15"/>
        <v>4999926.9254678646</v>
      </c>
      <c r="BA95" s="119">
        <f t="shared" si="20"/>
        <v>363250.67026697739</v>
      </c>
      <c r="BB95" s="119">
        <f t="shared" si="16"/>
        <v>4636676.2552008871</v>
      </c>
      <c r="BC95" s="119">
        <f t="shared" si="17"/>
        <v>28894154.846366256</v>
      </c>
    </row>
    <row r="96" spans="42:55">
      <c r="AP96" s="1">
        <v>31</v>
      </c>
      <c r="AQ96" s="119">
        <f t="shared" si="18"/>
        <v>29207174.857201912</v>
      </c>
      <c r="AR96" s="119">
        <f t="shared" si="10"/>
        <v>5054092.8004937666</v>
      </c>
      <c r="AS96" s="119">
        <f t="shared" si="11"/>
        <v>316411.06095302134</v>
      </c>
      <c r="AT96" s="119">
        <f t="shared" si="12"/>
        <v>4737681.7395407455</v>
      </c>
      <c r="AU96" s="119">
        <f t="shared" si="13"/>
        <v>24469493.117661167</v>
      </c>
      <c r="AV96" s="166">
        <f t="shared" si="14"/>
        <v>0.16312995411774112</v>
      </c>
      <c r="AX96" s="1">
        <v>31</v>
      </c>
      <c r="AY96" s="119">
        <f t="shared" si="19"/>
        <v>28894154.846366256</v>
      </c>
      <c r="AZ96" s="119">
        <f t="shared" si="15"/>
        <v>4999926.9254678646</v>
      </c>
      <c r="BA96" s="119">
        <f t="shared" si="20"/>
        <v>313020.01083563443</v>
      </c>
      <c r="BB96" s="119">
        <f t="shared" si="16"/>
        <v>4686906.9146322301</v>
      </c>
      <c r="BC96" s="119">
        <f t="shared" si="17"/>
        <v>24207247.931734025</v>
      </c>
    </row>
    <row r="97" spans="42:55">
      <c r="AP97" s="1">
        <v>32</v>
      </c>
      <c r="AQ97" s="119">
        <f t="shared" si="18"/>
        <v>24469493.117661167</v>
      </c>
      <c r="AR97" s="119">
        <f t="shared" si="10"/>
        <v>5054092.8004937666</v>
      </c>
      <c r="AS97" s="119">
        <f t="shared" si="11"/>
        <v>265086.17544132995</v>
      </c>
      <c r="AT97" s="119">
        <f t="shared" si="12"/>
        <v>4789006.6250524363</v>
      </c>
      <c r="AU97" s="119">
        <f t="shared" si="13"/>
        <v>19680486.49260873</v>
      </c>
      <c r="AV97" s="166">
        <f t="shared" si="14"/>
        <v>0.13120324328405819</v>
      </c>
      <c r="AX97" s="1">
        <v>32</v>
      </c>
      <c r="AY97" s="119">
        <f t="shared" si="19"/>
        <v>24207247.931734025</v>
      </c>
      <c r="AZ97" s="119">
        <f t="shared" si="15"/>
        <v>4999926.9254678646</v>
      </c>
      <c r="BA97" s="119">
        <f t="shared" si="20"/>
        <v>262245.18592711864</v>
      </c>
      <c r="BB97" s="119">
        <f t="shared" si="16"/>
        <v>4737681.7395407464</v>
      </c>
      <c r="BC97" s="119">
        <f t="shared" si="17"/>
        <v>19469566.192193277</v>
      </c>
    </row>
    <row r="98" spans="42:55">
      <c r="AP98" s="1">
        <v>33</v>
      </c>
      <c r="AQ98" s="119">
        <f t="shared" si="18"/>
        <v>19680486.49260873</v>
      </c>
      <c r="AR98" s="119">
        <f t="shared" si="10"/>
        <v>5054092.8004937666</v>
      </c>
      <c r="AS98" s="119">
        <f t="shared" si="11"/>
        <v>213205.27033659522</v>
      </c>
      <c r="AT98" s="119">
        <f t="shared" si="12"/>
        <v>4840887.5301571712</v>
      </c>
      <c r="AU98" s="119">
        <f t="shared" si="13"/>
        <v>14839598.962451559</v>
      </c>
      <c r="AV98" s="166">
        <f t="shared" si="14"/>
        <v>9.8930659749677061E-2</v>
      </c>
      <c r="AX98" s="1">
        <v>33</v>
      </c>
      <c r="AY98" s="119">
        <f t="shared" si="19"/>
        <v>19469566.192193277</v>
      </c>
      <c r="AZ98" s="119">
        <f t="shared" si="15"/>
        <v>4999926.9254678646</v>
      </c>
      <c r="BA98" s="119">
        <f t="shared" si="20"/>
        <v>210920.30041542719</v>
      </c>
      <c r="BB98" s="119">
        <f t="shared" si="16"/>
        <v>4789006.6250524372</v>
      </c>
      <c r="BC98" s="119">
        <f t="shared" si="17"/>
        <v>14680559.56714084</v>
      </c>
    </row>
    <row r="99" spans="42:55">
      <c r="AP99" s="1">
        <v>34</v>
      </c>
      <c r="AQ99" s="119">
        <f t="shared" si="18"/>
        <v>14839598.962451559</v>
      </c>
      <c r="AR99" s="119">
        <f t="shared" si="10"/>
        <v>5054092.8004937666</v>
      </c>
      <c r="AS99" s="119">
        <f t="shared" si="11"/>
        <v>160762.32209322587</v>
      </c>
      <c r="AT99" s="119">
        <f t="shared" si="12"/>
        <v>4893330.4784005405</v>
      </c>
      <c r="AU99" s="119">
        <f t="shared" si="13"/>
        <v>9946268.484051019</v>
      </c>
      <c r="AV99" s="166">
        <f t="shared" si="14"/>
        <v>6.6308456560340123E-2</v>
      </c>
      <c r="AX99" s="1">
        <v>34</v>
      </c>
      <c r="AY99" s="119">
        <f t="shared" si="19"/>
        <v>14680559.56714084</v>
      </c>
      <c r="AZ99" s="119">
        <f t="shared" si="15"/>
        <v>4999926.9254678646</v>
      </c>
      <c r="BA99" s="119">
        <f t="shared" si="20"/>
        <v>159039.39531069243</v>
      </c>
      <c r="BB99" s="119">
        <f t="shared" si="16"/>
        <v>4840887.5301571721</v>
      </c>
      <c r="BC99" s="119">
        <f t="shared" si="17"/>
        <v>9839672.0369836688</v>
      </c>
    </row>
    <row r="100" spans="42:55">
      <c r="AP100" s="1">
        <v>35</v>
      </c>
      <c r="AQ100" s="119">
        <f t="shared" si="18"/>
        <v>9946268.484051019</v>
      </c>
      <c r="AR100" s="119">
        <f t="shared" si="10"/>
        <v>5054092.8004937666</v>
      </c>
      <c r="AS100" s="119">
        <f t="shared" si="11"/>
        <v>107751.24191055333</v>
      </c>
      <c r="AT100" s="119">
        <f t="shared" si="12"/>
        <v>4946341.558583213</v>
      </c>
      <c r="AU100" s="119">
        <f t="shared" si="13"/>
        <v>4999926.9254678059</v>
      </c>
      <c r="AV100" s="166">
        <f t="shared" si="14"/>
        <v>3.3332846169785373E-2</v>
      </c>
      <c r="AX100" s="1">
        <v>35</v>
      </c>
      <c r="AY100" s="119">
        <f t="shared" si="19"/>
        <v>9839672.0369836688</v>
      </c>
      <c r="AZ100" s="119">
        <f t="shared" si="15"/>
        <v>4999926.9254678646</v>
      </c>
      <c r="BA100" s="119">
        <f t="shared" si="20"/>
        <v>106596.44706732308</v>
      </c>
      <c r="BB100" s="119">
        <f t="shared" si="16"/>
        <v>4893330.4784005415</v>
      </c>
      <c r="BC100" s="119">
        <f t="shared" si="17"/>
        <v>4946341.5585831273</v>
      </c>
    </row>
    <row r="101" spans="42:55">
      <c r="AP101" s="1">
        <v>36</v>
      </c>
      <c r="AQ101" s="119">
        <f t="shared" si="18"/>
        <v>4999926.9254678059</v>
      </c>
      <c r="AR101" s="119">
        <f t="shared" si="10"/>
        <v>5054092.8004937666</v>
      </c>
      <c r="AS101" s="119">
        <f t="shared" si="11"/>
        <v>54165.875025901871</v>
      </c>
      <c r="AT101" s="119">
        <f t="shared" si="12"/>
        <v>4999926.9254678646</v>
      </c>
      <c r="AU101" s="119">
        <f t="shared" si="13"/>
        <v>-5.8673322200775146E-8</v>
      </c>
      <c r="AV101" s="166">
        <f t="shared" si="14"/>
        <v>-3.9115548133850098E-16</v>
      </c>
      <c r="AX101" s="1">
        <v>36</v>
      </c>
      <c r="AY101" s="119">
        <f t="shared" si="19"/>
        <v>4946341.5585831273</v>
      </c>
      <c r="AZ101" s="119">
        <f t="shared" si="15"/>
        <v>4999926.9254678646</v>
      </c>
      <c r="BA101" s="119">
        <f t="shared" si="20"/>
        <v>53585.366884650546</v>
      </c>
      <c r="BB101" s="119">
        <f t="shared" si="16"/>
        <v>4946341.5585832139</v>
      </c>
      <c r="BC101" s="119">
        <f t="shared" si="17"/>
        <v>-8.6612999439239502E-8</v>
      </c>
    </row>
    <row r="109" spans="42:55">
      <c r="AQ109" s="1" t="str">
        <f>AP65</f>
        <v>period</v>
      </c>
      <c r="AR109" s="1" t="str">
        <f>AV65</f>
        <v>outstanding bal %</v>
      </c>
    </row>
    <row r="110" spans="42:55">
      <c r="AQ110" s="1">
        <f t="shared" ref="AQ110:AQ145" si="21">AP66</f>
        <v>1</v>
      </c>
      <c r="AR110" s="166">
        <f t="shared" ref="AR110:AR145" si="22">AV66</f>
        <v>0.97713938133004152</v>
      </c>
    </row>
    <row r="111" spans="42:55">
      <c r="AQ111" s="1">
        <f t="shared" si="21"/>
        <v>2</v>
      </c>
      <c r="AR111" s="166">
        <f t="shared" si="22"/>
        <v>0.95403110595782514</v>
      </c>
    </row>
    <row r="112" spans="42:55">
      <c r="AQ112" s="1">
        <f t="shared" si="21"/>
        <v>3</v>
      </c>
      <c r="AR112" s="166">
        <f t="shared" si="22"/>
        <v>0.93067249093574322</v>
      </c>
    </row>
    <row r="113" spans="43:44">
      <c r="AQ113" s="1">
        <f t="shared" si="21"/>
        <v>4</v>
      </c>
      <c r="AR113" s="166">
        <f t="shared" si="22"/>
        <v>0.90706082425092205</v>
      </c>
    </row>
    <row r="114" spans="43:44">
      <c r="AQ114" s="1">
        <f t="shared" si="21"/>
        <v>5</v>
      </c>
      <c r="AR114" s="166">
        <f t="shared" si="22"/>
        <v>0.88319336451034858</v>
      </c>
    </row>
    <row r="115" spans="43:44">
      <c r="AQ115" s="1">
        <f t="shared" si="21"/>
        <v>6</v>
      </c>
      <c r="AR115" s="166">
        <f t="shared" si="22"/>
        <v>0.8590673406225855</v>
      </c>
    </row>
    <row r="116" spans="43:44">
      <c r="AQ116" s="1">
        <f t="shared" si="21"/>
        <v>7</v>
      </c>
      <c r="AR116" s="166">
        <f t="shared" si="22"/>
        <v>0.83467995147603835</v>
      </c>
    </row>
    <row r="117" spans="43:44">
      <c r="AQ117" s="1">
        <f t="shared" si="21"/>
        <v>8</v>
      </c>
      <c r="AR117" s="166">
        <f t="shared" si="22"/>
        <v>0.81002836561373703</v>
      </c>
    </row>
    <row r="118" spans="43:44">
      <c r="AQ118" s="1">
        <f t="shared" si="21"/>
        <v>9</v>
      </c>
      <c r="AR118" s="166">
        <f t="shared" si="22"/>
        <v>0.78510972090459408</v>
      </c>
    </row>
    <row r="119" spans="43:44">
      <c r="AQ119" s="1">
        <f t="shared" si="21"/>
        <v>10</v>
      </c>
      <c r="AR119" s="166">
        <f t="shared" si="22"/>
        <v>0.75992112421110203</v>
      </c>
    </row>
    <row r="120" spans="43:44">
      <c r="AQ120" s="1">
        <f t="shared" si="21"/>
        <v>11</v>
      </c>
      <c r="AR120" s="166">
        <f t="shared" si="22"/>
        <v>0.73445965105343058</v>
      </c>
    </row>
    <row r="121" spans="43:44">
      <c r="AQ121" s="1">
        <f t="shared" si="21"/>
        <v>12</v>
      </c>
      <c r="AR121" s="166">
        <f t="shared" si="22"/>
        <v>0.70872234526988431</v>
      </c>
    </row>
    <row r="122" spans="43:44">
      <c r="AQ122" s="1">
        <f t="shared" si="21"/>
        <v>13</v>
      </c>
      <c r="AR122" s="166">
        <f t="shared" si="22"/>
        <v>0.68270621867368286</v>
      </c>
    </row>
    <row r="123" spans="43:44">
      <c r="AQ123" s="1">
        <f t="shared" si="21"/>
        <v>14</v>
      </c>
      <c r="AR123" s="166">
        <f t="shared" si="22"/>
        <v>0.65640825070602271</v>
      </c>
    </row>
    <row r="124" spans="43:44">
      <c r="AQ124" s="1">
        <f t="shared" si="21"/>
        <v>15</v>
      </c>
      <c r="AR124" s="166">
        <f t="shared" si="22"/>
        <v>0.62982538808537947</v>
      </c>
    </row>
    <row r="125" spans="43:44">
      <c r="AQ125" s="1">
        <f t="shared" si="21"/>
        <v>16</v>
      </c>
      <c r="AR125" s="166">
        <f t="shared" si="22"/>
        <v>0.60295454445301266</v>
      </c>
    </row>
    <row r="126" spans="43:44">
      <c r="AQ126" s="1">
        <f t="shared" si="21"/>
        <v>17</v>
      </c>
      <c r="AR126" s="166">
        <f t="shared" si="22"/>
        <v>0.57579260001462851</v>
      </c>
    </row>
    <row r="127" spans="43:44">
      <c r="AQ127" s="1">
        <f t="shared" si="21"/>
        <v>18</v>
      </c>
      <c r="AR127" s="166">
        <f t="shared" si="22"/>
        <v>0.54833640117816185</v>
      </c>
    </row>
    <row r="128" spans="43:44">
      <c r="AQ128" s="1">
        <f t="shared" si="21"/>
        <v>19</v>
      </c>
      <c r="AR128" s="166">
        <f t="shared" si="22"/>
        <v>0.52058276018763339</v>
      </c>
    </row>
    <row r="129" spans="43:44">
      <c r="AQ129" s="1">
        <f t="shared" si="21"/>
        <v>20</v>
      </c>
      <c r="AR129" s="166">
        <f t="shared" si="22"/>
        <v>0.49252845475304108</v>
      </c>
    </row>
    <row r="130" spans="43:44">
      <c r="AQ130" s="1">
        <f t="shared" si="21"/>
        <v>21</v>
      </c>
      <c r="AR130" s="166">
        <f t="shared" si="22"/>
        <v>0.46417022767624061</v>
      </c>
    </row>
    <row r="131" spans="43:44">
      <c r="AQ131" s="1">
        <f t="shared" si="21"/>
        <v>22</v>
      </c>
      <c r="AR131" s="166">
        <f t="shared" si="22"/>
        <v>0.43550478647277474</v>
      </c>
    </row>
    <row r="132" spans="43:44">
      <c r="AQ132" s="1">
        <f t="shared" si="21"/>
        <v>23</v>
      </c>
      <c r="AR132" s="166">
        <f t="shared" si="22"/>
        <v>0.4065288029896047</v>
      </c>
    </row>
    <row r="133" spans="43:44">
      <c r="AQ133" s="1">
        <f t="shared" si="21"/>
        <v>24</v>
      </c>
      <c r="AR133" s="166">
        <f t="shared" si="22"/>
        <v>0.37723891301870027</v>
      </c>
    </row>
    <row r="134" spans="43:44">
      <c r="AQ134" s="1">
        <f t="shared" si="21"/>
        <v>25</v>
      </c>
      <c r="AR134" s="166">
        <f t="shared" si="22"/>
        <v>0.34763171590644443</v>
      </c>
    </row>
    <row r="135" spans="43:44">
      <c r="AQ135" s="1">
        <f t="shared" si="21"/>
        <v>26</v>
      </c>
      <c r="AR135" s="166">
        <f t="shared" si="22"/>
        <v>0.3177037741588058</v>
      </c>
    </row>
    <row r="136" spans="43:44">
      <c r="AQ136" s="1">
        <f t="shared" si="21"/>
        <v>27</v>
      </c>
      <c r="AR136" s="166">
        <f t="shared" si="22"/>
        <v>0.28745161304223443</v>
      </c>
    </row>
    <row r="137" spans="43:44">
      <c r="AQ137" s="1">
        <f t="shared" si="21"/>
        <v>28</v>
      </c>
      <c r="AR137" s="166">
        <f t="shared" si="22"/>
        <v>0.25687172018023352</v>
      </c>
    </row>
    <row r="138" spans="43:44">
      <c r="AQ138" s="1">
        <f t="shared" si="21"/>
        <v>29</v>
      </c>
      <c r="AR138" s="166">
        <f t="shared" si="22"/>
        <v>0.22596054514556094</v>
      </c>
    </row>
    <row r="139" spans="43:44">
      <c r="AQ139" s="1">
        <f t="shared" si="21"/>
        <v>30</v>
      </c>
      <c r="AR139" s="166">
        <f t="shared" si="22"/>
        <v>0.19471449904801275</v>
      </c>
    </row>
    <row r="140" spans="43:44">
      <c r="AQ140" s="1">
        <f t="shared" si="21"/>
        <v>31</v>
      </c>
      <c r="AR140" s="166">
        <f t="shared" si="22"/>
        <v>0.16312995411774112</v>
      </c>
    </row>
    <row r="141" spans="43:44">
      <c r="AQ141" s="1">
        <f t="shared" si="21"/>
        <v>32</v>
      </c>
      <c r="AR141" s="166">
        <f t="shared" si="22"/>
        <v>0.13120324328405819</v>
      </c>
    </row>
    <row r="142" spans="43:44">
      <c r="AQ142" s="1">
        <f t="shared" si="21"/>
        <v>33</v>
      </c>
      <c r="AR142" s="166">
        <f t="shared" si="22"/>
        <v>9.8930659749677061E-2</v>
      </c>
    </row>
    <row r="143" spans="43:44">
      <c r="AQ143" s="1">
        <f t="shared" si="21"/>
        <v>34</v>
      </c>
      <c r="AR143" s="166">
        <f t="shared" si="22"/>
        <v>6.6308456560340123E-2</v>
      </c>
    </row>
    <row r="144" spans="43:44">
      <c r="AQ144" s="1">
        <f t="shared" si="21"/>
        <v>35</v>
      </c>
      <c r="AR144" s="166">
        <f t="shared" si="22"/>
        <v>3.3332846169785373E-2</v>
      </c>
    </row>
    <row r="145" spans="43:44">
      <c r="AQ145" s="1">
        <f t="shared" si="21"/>
        <v>36</v>
      </c>
      <c r="AR145" s="166">
        <f t="shared" si="22"/>
        <v>-3.9115548133850098E-16</v>
      </c>
    </row>
  </sheetData>
  <scenarios current="0" show="0" sqref="H24">
    <scenario name="DEFAULT SCENARIO" locked="1" count="4" user="ADMIN" comment="Created by ADMIN on 16/07/2025">
      <inputCells r="I3" val="10000000" numFmtId="165"/>
      <inputCells r="I4" val="1209466.84715201" numFmtId="165"/>
      <inputCells r="I5" val="0.1" numFmtId="9"/>
      <inputCells r="I6" val="0.15" numFmtId="9"/>
    </scenario>
    <scenario name="SCENARIO 1" locked="1" count="4" user="ADMIN" comment="Created by ADMIN on 16/07/2025">
      <inputCells r="I3" val="10000000" numFmtId="165"/>
      <inputCells r="I4" val="1500000" numFmtId="165"/>
      <inputCells r="I5" val="0.1" numFmtId="9"/>
      <inputCells r="I6" val="0.15" numFmtId="9"/>
    </scenario>
    <scenario name="SCENARIO 2" locked="1" count="4" user="ADMIN" comment="Created by ADMIN on 16/07/2025">
      <inputCells r="I3" val="15000000" numFmtId="165"/>
      <inputCells r="I4" val="2000000" numFmtId="165"/>
      <inputCells r="I5" val="0.08" numFmtId="9"/>
      <inputCells r="I6" val="0.1" numFmtId="9"/>
    </scenario>
    <scenario name="SCENARIO 3" locked="1" count="4" user="ADMIN" comment="Created by ADMIN on 16/07/2025">
      <inputCells r="I3" val="20000000" numFmtId="165"/>
      <inputCells r="I4" val="4000000" numFmtId="165"/>
      <inputCells r="I5" val="0.07" numFmtId="9"/>
      <inputCells r="I6" val="0.13" numFmtId="9"/>
    </scenario>
  </scenarios>
  <phoneticPr fontId="44" type="noConversion"/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50720-202A-44C1-83B1-1ED1D3796B32}">
  <dimension ref="A1:O41"/>
  <sheetViews>
    <sheetView topLeftCell="A7" workbookViewId="0">
      <selection activeCell="M13" sqref="M13"/>
    </sheetView>
  </sheetViews>
  <sheetFormatPr defaultRowHeight="14.5"/>
  <cols>
    <col min="1" max="1" width="6.54296875" customWidth="1"/>
    <col min="3" max="3" width="30.26953125" customWidth="1"/>
    <col min="4" max="4" width="11.453125" customWidth="1"/>
    <col min="5" max="5" width="11.1796875" customWidth="1"/>
    <col min="11" max="11" width="10.1796875" bestFit="1" customWidth="1"/>
  </cols>
  <sheetData>
    <row r="1" spans="1:7">
      <c r="A1" s="232" t="s">
        <v>78</v>
      </c>
      <c r="B1" s="232"/>
      <c r="C1" s="232"/>
      <c r="D1" s="232"/>
    </row>
    <row r="2" spans="1:7">
      <c r="A2" s="33" t="s">
        <v>109</v>
      </c>
      <c r="B2" s="34"/>
      <c r="C2" s="34"/>
      <c r="D2" s="34"/>
    </row>
    <row r="3" spans="1:7">
      <c r="A3" s="35" t="s">
        <v>110</v>
      </c>
      <c r="B3" s="35"/>
    </row>
    <row r="4" spans="1:7">
      <c r="A4" s="36" t="s">
        <v>111</v>
      </c>
      <c r="B4" s="35"/>
    </row>
    <row r="5" spans="1:7">
      <c r="A5" s="36" t="s">
        <v>112</v>
      </c>
    </row>
    <row r="6" spans="1:7">
      <c r="A6" s="36" t="s">
        <v>113</v>
      </c>
    </row>
    <row r="7" spans="1:7">
      <c r="A7" s="37" t="s">
        <v>67</v>
      </c>
    </row>
    <row r="8" spans="1:7">
      <c r="A8" s="36" t="s">
        <v>114</v>
      </c>
    </row>
    <row r="9" spans="1:7">
      <c r="A9" s="36" t="s">
        <v>115</v>
      </c>
    </row>
    <row r="10" spans="1:7">
      <c r="A10" s="36" t="s">
        <v>116</v>
      </c>
    </row>
    <row r="11" spans="1:7">
      <c r="A11" s="36" t="s">
        <v>117</v>
      </c>
    </row>
    <row r="12" spans="1:7">
      <c r="D12" s="38" t="s">
        <v>118</v>
      </c>
      <c r="E12" s="39" t="s">
        <v>119</v>
      </c>
    </row>
    <row r="13" spans="1:7">
      <c r="A13" s="40"/>
      <c r="D13" s="38" t="s">
        <v>120</v>
      </c>
    </row>
    <row r="14" spans="1:7">
      <c r="B14" s="233" t="s">
        <v>121</v>
      </c>
      <c r="C14" s="233"/>
      <c r="D14" s="41">
        <v>5000</v>
      </c>
      <c r="G14" s="42">
        <v>0.02</v>
      </c>
    </row>
    <row r="15" spans="1:7">
      <c r="A15" s="38"/>
      <c r="B15" s="233" t="s">
        <v>122</v>
      </c>
      <c r="C15" s="233"/>
      <c r="D15" s="41">
        <v>2000</v>
      </c>
      <c r="G15" s="42">
        <v>0.04</v>
      </c>
    </row>
    <row r="16" spans="1:7">
      <c r="A16" s="40"/>
      <c r="B16" s="233" t="s">
        <v>123</v>
      </c>
      <c r="C16" s="233"/>
      <c r="D16" s="41">
        <v>1000</v>
      </c>
      <c r="G16" s="42">
        <v>0.05</v>
      </c>
    </row>
    <row r="17" spans="1:15">
      <c r="A17" s="40"/>
      <c r="B17" s="233" t="s">
        <v>124</v>
      </c>
      <c r="C17" s="233"/>
      <c r="D17" s="40">
        <v>500</v>
      </c>
      <c r="G17" s="42">
        <v>0.1</v>
      </c>
    </row>
    <row r="18" spans="1:15">
      <c r="A18" s="36" t="s">
        <v>125</v>
      </c>
      <c r="C18" s="40"/>
      <c r="D18" s="40"/>
      <c r="G18" s="42"/>
    </row>
    <row r="19" spans="1:15">
      <c r="A19" s="36" t="s">
        <v>126</v>
      </c>
      <c r="C19" s="40"/>
      <c r="D19" s="40"/>
      <c r="G19" s="42"/>
    </row>
    <row r="20" spans="1:15">
      <c r="A20" s="36" t="s">
        <v>127</v>
      </c>
      <c r="C20" s="40"/>
      <c r="D20" s="40"/>
      <c r="G20" s="42"/>
    </row>
    <row r="21" spans="1:15">
      <c r="A21" s="36" t="s">
        <v>128</v>
      </c>
      <c r="C21" s="40"/>
      <c r="D21" s="40"/>
      <c r="G21" s="42"/>
    </row>
    <row r="22" spans="1:15">
      <c r="A22" s="36" t="s">
        <v>129</v>
      </c>
      <c r="C22" s="40"/>
      <c r="D22" s="40"/>
      <c r="G22" s="42"/>
    </row>
    <row r="23" spans="1:15">
      <c r="A23" s="36" t="s">
        <v>130</v>
      </c>
      <c r="C23" s="40"/>
      <c r="D23" s="40"/>
      <c r="G23" s="42"/>
    </row>
    <row r="24" spans="1:15">
      <c r="A24" s="36" t="s">
        <v>131</v>
      </c>
      <c r="C24" s="40"/>
      <c r="D24" s="40"/>
      <c r="G24" s="42"/>
    </row>
    <row r="25" spans="1:15">
      <c r="A25" s="40" t="s">
        <v>132</v>
      </c>
      <c r="C25" s="40"/>
      <c r="D25" s="40"/>
      <c r="G25" s="42"/>
    </row>
    <row r="26" spans="1:15">
      <c r="A26" s="40"/>
      <c r="C26" s="38" t="s">
        <v>133</v>
      </c>
      <c r="D26" s="231" t="s">
        <v>134</v>
      </c>
      <c r="E26" s="231"/>
    </row>
    <row r="27" spans="1:15">
      <c r="C27" s="42">
        <v>0.3</v>
      </c>
      <c r="D27" s="41">
        <v>40000</v>
      </c>
    </row>
    <row r="28" spans="1:15">
      <c r="C28" s="42">
        <v>0.4</v>
      </c>
      <c r="D28" s="41">
        <v>30000</v>
      </c>
    </row>
    <row r="29" spans="1:15">
      <c r="C29" s="42">
        <v>0.3</v>
      </c>
      <c r="D29" s="41">
        <v>10000</v>
      </c>
      <c r="O29" s="246"/>
    </row>
    <row r="30" spans="1:15">
      <c r="A30" s="36" t="s">
        <v>135</v>
      </c>
    </row>
    <row r="31" spans="1:15">
      <c r="A31" s="36" t="s">
        <v>136</v>
      </c>
    </row>
    <row r="32" spans="1:15">
      <c r="A32" s="36" t="s">
        <v>137</v>
      </c>
    </row>
    <row r="34" spans="1:11">
      <c r="A34" s="37" t="s">
        <v>138</v>
      </c>
      <c r="K34" s="43"/>
    </row>
    <row r="35" spans="1:11">
      <c r="A35" s="36" t="s">
        <v>139</v>
      </c>
      <c r="K35" s="43"/>
    </row>
    <row r="36" spans="1:11">
      <c r="A36" s="36" t="s">
        <v>140</v>
      </c>
      <c r="K36" s="44" t="s">
        <v>141</v>
      </c>
    </row>
    <row r="37" spans="1:11">
      <c r="A37" s="40"/>
    </row>
    <row r="38" spans="1:11">
      <c r="A38" s="36" t="s">
        <v>142</v>
      </c>
      <c r="K38" s="44" t="s">
        <v>59</v>
      </c>
    </row>
    <row r="39" spans="1:11">
      <c r="A39" s="40"/>
      <c r="K39" s="45"/>
    </row>
    <row r="40" spans="1:11">
      <c r="A40" s="36" t="s">
        <v>143</v>
      </c>
      <c r="B40" s="40"/>
      <c r="K40" s="44" t="s">
        <v>144</v>
      </c>
    </row>
    <row r="41" spans="1:11">
      <c r="A41" s="40"/>
      <c r="K41" s="46" t="s">
        <v>145</v>
      </c>
    </row>
  </sheetData>
  <mergeCells count="6">
    <mergeCell ref="D26:E26"/>
    <mergeCell ref="A1:D1"/>
    <mergeCell ref="B14:C14"/>
    <mergeCell ref="B15:C15"/>
    <mergeCell ref="B16:C16"/>
    <mergeCell ref="B17:C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88832-CA9C-41B2-AB2F-AB9D6A8ECED7}">
  <dimension ref="A2:L24"/>
  <sheetViews>
    <sheetView tabSelected="1" topLeftCell="A7" workbookViewId="0">
      <selection activeCell="J13" sqref="J13"/>
    </sheetView>
  </sheetViews>
  <sheetFormatPr defaultRowHeight="14.5"/>
  <cols>
    <col min="1" max="1" width="6.54296875" customWidth="1"/>
    <col min="3" max="3" width="30.26953125" customWidth="1"/>
    <col min="4" max="4" width="14.81640625" customWidth="1"/>
    <col min="5" max="5" width="12.1796875" customWidth="1"/>
    <col min="6" max="6" width="11.1796875" customWidth="1"/>
    <col min="10" max="10" width="12.54296875" customWidth="1"/>
  </cols>
  <sheetData>
    <row r="2" spans="1:11">
      <c r="A2" s="232" t="s">
        <v>78</v>
      </c>
      <c r="B2" s="232"/>
      <c r="C2" s="232"/>
      <c r="D2" s="232"/>
      <c r="E2" s="232"/>
    </row>
    <row r="3" spans="1:11">
      <c r="A3" s="33" t="s">
        <v>109</v>
      </c>
      <c r="B3" s="34"/>
      <c r="C3" s="34"/>
      <c r="D3" s="34"/>
      <c r="E3" s="34"/>
    </row>
    <row r="4" spans="1:11">
      <c r="A4" s="37" t="s">
        <v>79</v>
      </c>
      <c r="B4" s="40"/>
    </row>
    <row r="5" spans="1:11">
      <c r="A5" s="36" t="s">
        <v>146</v>
      </c>
    </row>
    <row r="6" spans="1:11">
      <c r="A6" s="47"/>
      <c r="B6" s="40"/>
    </row>
    <row r="7" spans="1:11">
      <c r="A7" s="48"/>
      <c r="C7" t="s">
        <v>147</v>
      </c>
      <c r="E7" t="s">
        <v>148</v>
      </c>
    </row>
    <row r="8" spans="1:11">
      <c r="I8" t="s">
        <v>420</v>
      </c>
      <c r="J8" s="206">
        <f>NPV(D15,E10:E13)+E9</f>
        <v>791273.16108467244</v>
      </c>
      <c r="K8" t="s">
        <v>521</v>
      </c>
    </row>
    <row r="9" spans="1:11">
      <c r="C9" s="52">
        <v>44927</v>
      </c>
      <c r="E9" s="90">
        <v>-10000000</v>
      </c>
      <c r="I9" t="s">
        <v>468</v>
      </c>
      <c r="J9" s="247">
        <f>IRR(E9:E13)</f>
        <v>0.11541278310055758</v>
      </c>
      <c r="K9" t="s">
        <v>522</v>
      </c>
    </row>
    <row r="10" spans="1:11">
      <c r="C10" s="52">
        <v>45107</v>
      </c>
      <c r="E10" s="90">
        <v>2750000</v>
      </c>
    </row>
    <row r="11" spans="1:11">
      <c r="C11" s="52">
        <v>45504</v>
      </c>
      <c r="E11" s="90">
        <v>4250000</v>
      </c>
    </row>
    <row r="12" spans="1:11">
      <c r="C12" s="52">
        <v>45930</v>
      </c>
      <c r="E12" s="90">
        <v>3250000</v>
      </c>
      <c r="I12" t="s">
        <v>519</v>
      </c>
      <c r="J12" s="206">
        <f>XNPV(D15,E9:E13,C9:C13)</f>
        <v>1062559.8529430779</v>
      </c>
      <c r="K12" t="s">
        <v>521</v>
      </c>
    </row>
    <row r="13" spans="1:11">
      <c r="C13" s="52">
        <v>46387</v>
      </c>
      <c r="E13" s="90">
        <v>2750000</v>
      </c>
      <c r="I13" t="s">
        <v>520</v>
      </c>
      <c r="J13" s="247">
        <f>XIRR(E9:E13,C9:C13)</f>
        <v>0.13583356738090518</v>
      </c>
      <c r="K13" t="s">
        <v>522</v>
      </c>
    </row>
    <row r="15" spans="1:11">
      <c r="C15" t="s">
        <v>439</v>
      </c>
      <c r="D15" s="242">
        <v>0.08</v>
      </c>
    </row>
    <row r="16" spans="1:11">
      <c r="A16" s="49" t="s">
        <v>149</v>
      </c>
    </row>
    <row r="17" spans="1:12">
      <c r="A17" s="49"/>
    </row>
    <row r="18" spans="1:12">
      <c r="A18" s="50" t="s">
        <v>56</v>
      </c>
    </row>
    <row r="19" spans="1:12">
      <c r="A19" s="49" t="s">
        <v>150</v>
      </c>
      <c r="L19" s="44" t="s">
        <v>151</v>
      </c>
    </row>
    <row r="20" spans="1:12">
      <c r="A20" s="49" t="s">
        <v>152</v>
      </c>
      <c r="L20" s="36" t="s">
        <v>153</v>
      </c>
    </row>
    <row r="21" spans="1:12">
      <c r="A21" s="49"/>
      <c r="L21" s="36"/>
    </row>
    <row r="22" spans="1:12">
      <c r="A22" s="49" t="s">
        <v>154</v>
      </c>
      <c r="B22" s="48"/>
      <c r="C22" s="48"/>
      <c r="D22" s="48"/>
      <c r="L22" s="44" t="s">
        <v>151</v>
      </c>
    </row>
    <row r="23" spans="1:12">
      <c r="A23" s="49" t="s">
        <v>155</v>
      </c>
      <c r="B23" s="40"/>
      <c r="C23" s="40"/>
      <c r="D23" s="40"/>
      <c r="E23" s="40"/>
      <c r="L23" s="51" t="s">
        <v>156</v>
      </c>
    </row>
    <row r="24" spans="1:12">
      <c r="A24" s="49"/>
      <c r="K24" s="234" t="s">
        <v>157</v>
      </c>
      <c r="L24" s="234"/>
    </row>
  </sheetData>
  <mergeCells count="2">
    <mergeCell ref="A2:E2"/>
    <mergeCell ref="K24:L2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06DCB-28E3-4E23-AB20-67AD36A5F0F6}">
  <dimension ref="A1:L38"/>
  <sheetViews>
    <sheetView topLeftCell="A13" workbookViewId="0">
      <selection activeCell="A17" sqref="A17"/>
    </sheetView>
  </sheetViews>
  <sheetFormatPr defaultColWidth="9.26953125" defaultRowHeight="15.5"/>
  <cols>
    <col min="1" max="1" width="9.26953125" style="53"/>
    <col min="2" max="2" width="39.7265625" style="53" customWidth="1"/>
    <col min="3" max="3" width="38.26953125" style="53" customWidth="1"/>
    <col min="4" max="4" width="31.453125" style="53" customWidth="1"/>
    <col min="5" max="5" width="26.26953125" style="53" customWidth="1"/>
    <col min="6" max="6" width="11.26953125" style="53" customWidth="1"/>
    <col min="7" max="16384" width="9.26953125" style="53"/>
  </cols>
  <sheetData>
    <row r="1" spans="1:11">
      <c r="A1" s="235" t="s">
        <v>158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</row>
    <row r="2" spans="1:11">
      <c r="A2" s="54" t="s">
        <v>159</v>
      </c>
      <c r="B2" s="55"/>
      <c r="C2" s="55"/>
      <c r="D2" s="55"/>
      <c r="E2" s="55"/>
      <c r="F2" s="1"/>
    </row>
    <row r="3" spans="1:11">
      <c r="A3" s="55" t="s">
        <v>160</v>
      </c>
      <c r="B3" s="55"/>
      <c r="C3" s="55"/>
      <c r="D3" s="55"/>
      <c r="E3" s="55"/>
      <c r="F3" s="1"/>
    </row>
    <row r="4" spans="1:11">
      <c r="A4" s="55" t="s">
        <v>161</v>
      </c>
      <c r="B4" s="55"/>
      <c r="C4" s="55"/>
      <c r="D4" s="55"/>
      <c r="E4" s="55"/>
      <c r="F4" s="1"/>
    </row>
    <row r="5" spans="1:11">
      <c r="B5" s="55"/>
      <c r="C5" s="55"/>
      <c r="D5" s="55"/>
      <c r="E5" s="55"/>
      <c r="F5" s="1"/>
    </row>
    <row r="6" spans="1:11">
      <c r="A6" s="55" t="s">
        <v>162</v>
      </c>
      <c r="B6" s="55"/>
      <c r="C6" s="55"/>
      <c r="D6" s="55"/>
      <c r="E6" s="55"/>
      <c r="F6" s="1"/>
    </row>
    <row r="7" spans="1:11">
      <c r="A7" s="55" t="s">
        <v>163</v>
      </c>
      <c r="B7" s="55"/>
      <c r="C7" s="55"/>
      <c r="D7" s="236" t="s">
        <v>89</v>
      </c>
      <c r="E7" s="236"/>
      <c r="F7" s="1"/>
    </row>
    <row r="8" spans="1:11">
      <c r="A8" s="55"/>
      <c r="B8" s="55"/>
      <c r="C8" s="56" t="s">
        <v>164</v>
      </c>
      <c r="D8" s="57" t="s">
        <v>165</v>
      </c>
      <c r="E8" s="56" t="s">
        <v>166</v>
      </c>
      <c r="F8" s="1"/>
    </row>
    <row r="9" spans="1:11">
      <c r="A9" s="55"/>
      <c r="B9" s="55"/>
      <c r="C9" s="58" t="s">
        <v>94</v>
      </c>
      <c r="F9" s="1"/>
    </row>
    <row r="10" spans="1:11">
      <c r="A10" s="55" t="s">
        <v>167</v>
      </c>
      <c r="B10" s="55"/>
      <c r="C10" s="59">
        <v>100000000</v>
      </c>
      <c r="D10" s="60">
        <v>-0.2</v>
      </c>
      <c r="E10" s="61" t="s">
        <v>168</v>
      </c>
      <c r="F10" s="1"/>
    </row>
    <row r="11" spans="1:11">
      <c r="A11" s="55" t="s">
        <v>169</v>
      </c>
      <c r="B11" s="55"/>
      <c r="C11" s="59">
        <v>20000000</v>
      </c>
      <c r="D11" s="61" t="s">
        <v>170</v>
      </c>
      <c r="E11" s="61" t="s">
        <v>171</v>
      </c>
      <c r="F11" s="1"/>
    </row>
    <row r="12" spans="1:11">
      <c r="A12" s="55" t="s">
        <v>172</v>
      </c>
      <c r="B12" s="55"/>
      <c r="C12" s="59">
        <v>15000000</v>
      </c>
      <c r="D12" s="61" t="s">
        <v>173</v>
      </c>
      <c r="E12" s="61" t="s">
        <v>174</v>
      </c>
      <c r="F12" s="1"/>
    </row>
    <row r="13" spans="1:11">
      <c r="A13" s="55" t="s">
        <v>175</v>
      </c>
      <c r="B13" s="55"/>
      <c r="C13" s="59">
        <v>140000000</v>
      </c>
      <c r="D13" s="61" t="s">
        <v>170</v>
      </c>
      <c r="E13" s="61" t="s">
        <v>176</v>
      </c>
      <c r="F13" s="1"/>
    </row>
    <row r="14" spans="1:11">
      <c r="A14" s="55" t="s">
        <v>177</v>
      </c>
      <c r="B14" s="55"/>
      <c r="C14" s="59">
        <v>60000000</v>
      </c>
      <c r="D14" s="61" t="s">
        <v>178</v>
      </c>
      <c r="E14" s="61" t="s">
        <v>179</v>
      </c>
      <c r="F14" s="1"/>
    </row>
    <row r="15" spans="1:11">
      <c r="A15" s="55" t="s">
        <v>180</v>
      </c>
      <c r="B15" s="55"/>
      <c r="C15" s="59">
        <v>40000000</v>
      </c>
      <c r="D15" s="61" t="s">
        <v>171</v>
      </c>
      <c r="E15" s="61" t="s">
        <v>170</v>
      </c>
      <c r="F15" s="1"/>
    </row>
    <row r="16" spans="1:11">
      <c r="A16" s="55"/>
      <c r="B16" s="55"/>
      <c r="C16" s="59"/>
      <c r="D16" s="61"/>
      <c r="E16" s="61"/>
      <c r="F16" s="1"/>
    </row>
    <row r="17" spans="1:12">
      <c r="A17" s="55" t="s">
        <v>181</v>
      </c>
      <c r="B17" s="55"/>
      <c r="C17" s="60">
        <v>0.3</v>
      </c>
      <c r="D17" s="61" t="s">
        <v>182</v>
      </c>
      <c r="E17" s="61" t="s">
        <v>182</v>
      </c>
      <c r="F17" s="1"/>
    </row>
    <row r="18" spans="1:12">
      <c r="A18" s="55" t="s">
        <v>183</v>
      </c>
      <c r="B18" s="55"/>
      <c r="C18" s="60">
        <v>0.05</v>
      </c>
      <c r="D18" s="61" t="s">
        <v>184</v>
      </c>
      <c r="E18" s="61" t="s">
        <v>185</v>
      </c>
      <c r="F18" s="1"/>
    </row>
    <row r="19" spans="1:12">
      <c r="A19" s="55" t="s">
        <v>186</v>
      </c>
      <c r="B19" s="55"/>
      <c r="C19" s="60">
        <v>0.3</v>
      </c>
      <c r="D19" s="60">
        <v>0.3</v>
      </c>
      <c r="E19" s="60">
        <v>0.3</v>
      </c>
      <c r="F19" s="1"/>
    </row>
    <row r="20" spans="1:12">
      <c r="A20" s="55"/>
      <c r="B20" s="55"/>
      <c r="C20" s="55"/>
      <c r="D20" s="62"/>
      <c r="E20" s="62"/>
      <c r="F20" s="1"/>
    </row>
    <row r="21" spans="1:12">
      <c r="A21" s="54" t="s">
        <v>67</v>
      </c>
      <c r="B21" s="55"/>
      <c r="C21" s="55"/>
      <c r="D21" s="62"/>
      <c r="E21" s="62"/>
      <c r="F21" s="1"/>
    </row>
    <row r="22" spans="1:12">
      <c r="A22" s="55" t="s">
        <v>187</v>
      </c>
      <c r="B22" s="55"/>
      <c r="C22" s="55"/>
      <c r="D22" s="55"/>
      <c r="E22" s="55"/>
      <c r="F22" s="1"/>
    </row>
    <row r="23" spans="1:12">
      <c r="A23" s="55" t="s">
        <v>188</v>
      </c>
      <c r="B23" s="55"/>
      <c r="C23" s="55"/>
      <c r="D23" s="55"/>
      <c r="E23" s="55"/>
      <c r="F23" s="1"/>
    </row>
    <row r="24" spans="1:12" ht="40.15" customHeight="1">
      <c r="A24" s="55" t="s">
        <v>189</v>
      </c>
      <c r="B24" s="55"/>
      <c r="C24" s="55"/>
      <c r="D24" s="55"/>
      <c r="E24" s="55"/>
      <c r="F24" s="1"/>
    </row>
    <row r="25" spans="1:12" ht="40.15" customHeight="1">
      <c r="A25" s="55" t="s">
        <v>190</v>
      </c>
      <c r="B25" s="55"/>
      <c r="C25" s="55"/>
      <c r="D25" s="55"/>
      <c r="E25" s="55"/>
      <c r="F25" s="1"/>
    </row>
    <row r="26" spans="1:12" ht="40.15" customHeight="1">
      <c r="A26" s="55" t="s">
        <v>191</v>
      </c>
      <c r="B26" s="55"/>
      <c r="C26" s="55"/>
      <c r="D26" s="55"/>
      <c r="E26" s="55"/>
      <c r="F26" s="1"/>
    </row>
    <row r="27" spans="1:12" ht="40.15" customHeight="1">
      <c r="A27" s="55" t="s">
        <v>192</v>
      </c>
      <c r="B27" s="55"/>
      <c r="C27" s="55"/>
      <c r="D27" s="55"/>
      <c r="E27" s="55"/>
      <c r="F27" s="1"/>
    </row>
    <row r="28" spans="1:12" ht="10.15" customHeight="1">
      <c r="A28" s="55"/>
      <c r="B28" s="55"/>
      <c r="C28" s="55"/>
      <c r="D28" s="55"/>
      <c r="E28" s="55"/>
      <c r="F28" s="1"/>
    </row>
    <row r="29" spans="1:12" ht="30" customHeight="1">
      <c r="A29" s="54" t="s">
        <v>56</v>
      </c>
      <c r="B29" s="55"/>
      <c r="C29" s="55"/>
      <c r="D29" s="55"/>
      <c r="E29" s="55"/>
      <c r="F29" s="1"/>
    </row>
    <row r="30" spans="1:12" ht="30" customHeight="1">
      <c r="A30" s="55" t="s">
        <v>193</v>
      </c>
      <c r="B30" s="55"/>
      <c r="C30" s="55"/>
      <c r="D30" s="55"/>
      <c r="E30" s="55"/>
      <c r="F30" s="1"/>
    </row>
    <row r="31" spans="1:12" ht="30" customHeight="1">
      <c r="A31" s="55" t="s">
        <v>194</v>
      </c>
      <c r="B31" s="55"/>
      <c r="C31" s="55"/>
      <c r="D31" s="55"/>
      <c r="F31" s="1"/>
      <c r="L31" s="63" t="s">
        <v>195</v>
      </c>
    </row>
    <row r="32" spans="1:12" ht="30" customHeight="1">
      <c r="A32" s="55" t="s">
        <v>196</v>
      </c>
      <c r="B32" s="55"/>
      <c r="C32" s="55"/>
      <c r="D32" s="55"/>
      <c r="F32" s="1"/>
      <c r="L32" s="63" t="s">
        <v>195</v>
      </c>
    </row>
    <row r="33" spans="1:12">
      <c r="B33" s="55"/>
      <c r="C33" s="55"/>
      <c r="D33" s="55"/>
      <c r="F33" s="1"/>
      <c r="L33" s="64" t="s">
        <v>157</v>
      </c>
    </row>
    <row r="34" spans="1:12">
      <c r="B34" s="55"/>
      <c r="C34" s="55"/>
      <c r="D34" s="55"/>
      <c r="F34" s="1"/>
    </row>
    <row r="35" spans="1:12">
      <c r="A35" s="237" t="s">
        <v>197</v>
      </c>
      <c r="B35" s="237"/>
      <c r="C35" s="237"/>
      <c r="D35" s="237"/>
      <c r="E35" s="237"/>
      <c r="F35" s="1"/>
    </row>
    <row r="36" spans="1:12" ht="12" customHeight="1">
      <c r="A36" s="237"/>
      <c r="B36" s="237"/>
      <c r="C36" s="237"/>
      <c r="D36" s="237"/>
      <c r="E36" s="237"/>
    </row>
    <row r="37" spans="1:12">
      <c r="B37" s="1"/>
      <c r="C37" s="1"/>
      <c r="D37" s="1"/>
      <c r="E37" s="1"/>
    </row>
    <row r="38" spans="1:12" ht="16.5" customHeight="1">
      <c r="A38" s="8"/>
    </row>
  </sheetData>
  <mergeCells count="3">
    <mergeCell ref="A1:K1"/>
    <mergeCell ref="D7:E7"/>
    <mergeCell ref="A35:E3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63B17-FDAC-429D-B7EE-C6B67DF96F31}">
  <dimension ref="A1:C38"/>
  <sheetViews>
    <sheetView topLeftCell="A7" workbookViewId="0">
      <selection activeCell="B19" sqref="B19"/>
    </sheetView>
  </sheetViews>
  <sheetFormatPr defaultRowHeight="14.5"/>
  <cols>
    <col min="2" max="2" width="59.453125" customWidth="1"/>
    <col min="3" max="3" width="14.81640625" bestFit="1" customWidth="1"/>
  </cols>
  <sheetData>
    <row r="1" spans="1:3" ht="15.5">
      <c r="A1" s="1"/>
      <c r="B1" s="8" t="s">
        <v>198</v>
      </c>
      <c r="C1" s="1"/>
    </row>
    <row r="2" spans="1:3" ht="15.5">
      <c r="A2" s="1"/>
      <c r="B2" s="1" t="s">
        <v>199</v>
      </c>
      <c r="C2" s="1"/>
    </row>
    <row r="3" spans="1:3" ht="15.5">
      <c r="A3" s="1"/>
      <c r="B3" s="1"/>
      <c r="C3" s="1"/>
    </row>
    <row r="4" spans="1:3" ht="15.5">
      <c r="A4" s="1"/>
      <c r="B4" s="1"/>
      <c r="C4" s="1" t="s">
        <v>200</v>
      </c>
    </row>
    <row r="5" spans="1:3" ht="15.5">
      <c r="A5" s="1"/>
      <c r="B5" s="1" t="s">
        <v>201</v>
      </c>
      <c r="C5" s="65">
        <v>40000000</v>
      </c>
    </row>
    <row r="6" spans="1:3" ht="15.5">
      <c r="A6" s="1"/>
      <c r="B6" s="1" t="s">
        <v>202</v>
      </c>
      <c r="C6" s="65">
        <v>2500000</v>
      </c>
    </row>
    <row r="7" spans="1:3" ht="15.5">
      <c r="A7" s="1"/>
      <c r="B7" s="1" t="s">
        <v>203</v>
      </c>
      <c r="C7" s="65">
        <v>1100</v>
      </c>
    </row>
    <row r="8" spans="1:3" ht="15.5">
      <c r="A8" s="1"/>
      <c r="B8" s="1" t="s">
        <v>204</v>
      </c>
      <c r="C8" s="65">
        <v>500</v>
      </c>
    </row>
    <row r="9" spans="1:3" ht="15.5">
      <c r="A9" s="1"/>
      <c r="B9" s="1" t="s">
        <v>205</v>
      </c>
      <c r="C9" s="65">
        <v>5000000</v>
      </c>
    </row>
    <row r="10" spans="1:3" ht="15.5">
      <c r="A10" s="1"/>
      <c r="B10" s="1"/>
      <c r="C10" s="65"/>
    </row>
    <row r="11" spans="1:3" ht="15.5">
      <c r="A11" s="1"/>
      <c r="B11" s="8" t="s">
        <v>67</v>
      </c>
      <c r="C11" s="1"/>
    </row>
    <row r="12" spans="1:3" ht="15.5">
      <c r="A12" s="1"/>
      <c r="B12" s="1" t="s">
        <v>206</v>
      </c>
      <c r="C12" s="1"/>
    </row>
    <row r="13" spans="1:3" ht="15.5">
      <c r="A13" s="1"/>
      <c r="B13" s="1" t="s">
        <v>207</v>
      </c>
      <c r="C13" s="1"/>
    </row>
    <row r="14" spans="1:3" ht="15.5">
      <c r="A14" s="1"/>
      <c r="B14" s="1" t="s">
        <v>208</v>
      </c>
      <c r="C14" s="1"/>
    </row>
    <row r="15" spans="1:3" ht="15.5">
      <c r="A15" s="1"/>
      <c r="B15" s="1"/>
      <c r="C15" s="1"/>
    </row>
    <row r="16" spans="1:3" ht="15.5">
      <c r="A16" s="1"/>
      <c r="B16" s="8" t="s">
        <v>56</v>
      </c>
      <c r="C16" s="1"/>
    </row>
    <row r="17" spans="1:3" ht="15.5">
      <c r="A17" s="1"/>
      <c r="B17" s="1" t="s">
        <v>209</v>
      </c>
      <c r="C17" s="1"/>
    </row>
    <row r="18" spans="1:3" ht="15.5">
      <c r="A18" s="1"/>
      <c r="B18" s="1"/>
      <c r="C18" s="1"/>
    </row>
    <row r="19" spans="1:3" ht="15.5">
      <c r="A19" s="1"/>
      <c r="B19" s="1" t="s">
        <v>210</v>
      </c>
      <c r="C19" s="1"/>
    </row>
    <row r="20" spans="1:3" ht="15.5">
      <c r="A20" s="1"/>
      <c r="B20" s="1"/>
      <c r="C20" s="1"/>
    </row>
    <row r="21" spans="1:3" ht="15.5">
      <c r="A21" s="1"/>
      <c r="B21" s="1"/>
      <c r="C21" s="1"/>
    </row>
    <row r="22" spans="1:3" ht="15.5">
      <c r="A22" s="1"/>
      <c r="B22" s="1" t="s">
        <v>211</v>
      </c>
      <c r="C22" s="1"/>
    </row>
    <row r="23" spans="1:3" ht="15.5">
      <c r="A23" s="1"/>
      <c r="B23" s="1"/>
      <c r="C23" s="1"/>
    </row>
    <row r="24" spans="1:3" ht="15.5">
      <c r="A24" s="1"/>
      <c r="B24" s="1" t="s">
        <v>212</v>
      </c>
      <c r="C24" s="1"/>
    </row>
    <row r="25" spans="1:3" ht="15.5">
      <c r="A25" s="1"/>
      <c r="B25" s="1"/>
      <c r="C25" s="1"/>
    </row>
    <row r="26" spans="1:3" ht="15.5">
      <c r="A26" s="1"/>
      <c r="B26" s="1"/>
      <c r="C26" s="1"/>
    </row>
    <row r="27" spans="1:3" ht="15.5">
      <c r="A27" s="1"/>
      <c r="B27" s="1"/>
      <c r="C27" s="1"/>
    </row>
    <row r="28" spans="1:3" ht="15.5">
      <c r="A28" s="1"/>
      <c r="B28" s="1"/>
      <c r="C28" s="1"/>
    </row>
    <row r="29" spans="1:3" ht="15.5">
      <c r="A29" s="1"/>
      <c r="B29" s="1"/>
      <c r="C29" s="1"/>
    </row>
    <row r="30" spans="1:3" ht="15.5">
      <c r="A30" s="1"/>
      <c r="B30" s="1"/>
      <c r="C30" s="1"/>
    </row>
    <row r="31" spans="1:3" ht="15.5">
      <c r="A31" s="1"/>
      <c r="B31" s="1"/>
      <c r="C31" s="1"/>
    </row>
    <row r="32" spans="1:3" ht="15.5">
      <c r="A32" s="1"/>
      <c r="B32" s="1"/>
      <c r="C32" s="1"/>
    </row>
    <row r="33" spans="1:3" ht="15.5">
      <c r="A33" s="1"/>
      <c r="B33" s="1"/>
      <c r="C33" s="1"/>
    </row>
    <row r="34" spans="1:3" ht="15.5">
      <c r="A34" s="1"/>
      <c r="B34" s="1"/>
      <c r="C34" s="1"/>
    </row>
    <row r="35" spans="1:3" ht="15.5">
      <c r="A35" s="1"/>
      <c r="B35" s="1"/>
      <c r="C35" s="1"/>
    </row>
    <row r="36" spans="1:3" ht="15.5">
      <c r="A36" s="1"/>
      <c r="B36" s="1"/>
      <c r="C36" s="1"/>
    </row>
    <row r="37" spans="1:3" ht="15.5">
      <c r="A37" s="1"/>
      <c r="B37" s="1"/>
      <c r="C37" s="1"/>
    </row>
    <row r="38" spans="1:3" ht="15.5">
      <c r="A38" s="1"/>
      <c r="B38" s="1"/>
      <c r="C38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2D7A2-1616-4A26-84E8-C433836C5161}">
  <dimension ref="A1:J39"/>
  <sheetViews>
    <sheetView topLeftCell="A4" workbookViewId="0">
      <selection activeCell="C8" sqref="C8"/>
    </sheetView>
  </sheetViews>
  <sheetFormatPr defaultColWidth="9.1796875" defaultRowHeight="15.5"/>
  <cols>
    <col min="1" max="1" width="23.54296875" style="2" customWidth="1"/>
    <col min="2" max="2" width="25" style="2" customWidth="1"/>
    <col min="3" max="3" width="24.26953125" style="2" customWidth="1"/>
    <col min="4" max="16384" width="9.1796875" style="2"/>
  </cols>
  <sheetData>
    <row r="1" spans="1:10">
      <c r="A1" s="238" t="s">
        <v>198</v>
      </c>
      <c r="B1" s="238"/>
      <c r="C1" s="238"/>
      <c r="D1" s="238"/>
      <c r="E1" s="238"/>
      <c r="F1" s="238"/>
      <c r="G1" s="238"/>
    </row>
    <row r="2" spans="1:10">
      <c r="A2" s="1" t="s">
        <v>213</v>
      </c>
      <c r="B2" s="1"/>
      <c r="C2" s="1"/>
      <c r="D2" s="1"/>
      <c r="E2" s="1"/>
      <c r="F2" s="1"/>
      <c r="G2" s="1"/>
      <c r="H2" s="1"/>
      <c r="I2" s="1"/>
      <c r="J2" s="1"/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>
      <c r="A4" s="1" t="s">
        <v>214</v>
      </c>
      <c r="B4" s="1"/>
      <c r="C4" s="31" t="s">
        <v>215</v>
      </c>
      <c r="D4" s="66"/>
      <c r="E4" s="66"/>
      <c r="F4" s="66"/>
      <c r="G4" s="66"/>
    </row>
    <row r="5" spans="1:10">
      <c r="A5" s="1" t="s">
        <v>216</v>
      </c>
      <c r="B5" s="1"/>
      <c r="C5" s="31" t="s">
        <v>217</v>
      </c>
      <c r="D5" s="66"/>
      <c r="E5" s="66"/>
      <c r="F5" s="66"/>
      <c r="G5" s="66"/>
    </row>
    <row r="6" spans="1:10">
      <c r="A6" s="1" t="s">
        <v>218</v>
      </c>
      <c r="B6" s="1"/>
      <c r="C6" s="31" t="s">
        <v>219</v>
      </c>
      <c r="D6" s="66"/>
      <c r="E6" s="66"/>
      <c r="F6" s="66"/>
      <c r="G6" s="66"/>
    </row>
    <row r="7" spans="1:10">
      <c r="A7" s="1" t="s">
        <v>220</v>
      </c>
      <c r="B7" s="1"/>
      <c r="C7" s="26">
        <v>0.1</v>
      </c>
      <c r="D7" s="66"/>
      <c r="E7" s="66"/>
      <c r="F7" s="66"/>
      <c r="G7" s="66"/>
    </row>
    <row r="8" spans="1:10">
      <c r="A8" s="1" t="s">
        <v>221</v>
      </c>
      <c r="B8" s="1"/>
      <c r="C8" s="67" t="s">
        <v>222</v>
      </c>
      <c r="D8" s="66"/>
      <c r="E8" s="66"/>
      <c r="F8" s="66"/>
      <c r="G8" s="66"/>
    </row>
    <row r="9" spans="1:10">
      <c r="A9" s="1"/>
      <c r="B9" s="1"/>
      <c r="C9" s="1"/>
      <c r="D9" s="66"/>
      <c r="E9" s="66"/>
      <c r="F9" s="66"/>
      <c r="G9" s="66"/>
    </row>
    <row r="10" spans="1:10">
      <c r="A10" s="8" t="s">
        <v>56</v>
      </c>
      <c r="B10" s="1"/>
      <c r="C10" s="1"/>
      <c r="D10" s="66"/>
      <c r="E10" s="66"/>
      <c r="F10" s="66"/>
      <c r="G10" s="66"/>
    </row>
    <row r="11" spans="1:10">
      <c r="A11" s="1" t="s">
        <v>223</v>
      </c>
      <c r="B11" s="1"/>
      <c r="C11" s="1"/>
      <c r="D11" s="66"/>
      <c r="E11" s="66"/>
      <c r="F11" s="66"/>
      <c r="G11" s="66"/>
    </row>
    <row r="12" spans="1:10">
      <c r="A12" s="1" t="s">
        <v>224</v>
      </c>
      <c r="B12" s="1"/>
      <c r="C12" s="1"/>
      <c r="D12" s="66"/>
      <c r="E12" s="66"/>
      <c r="F12" s="66"/>
      <c r="G12" s="66"/>
    </row>
    <row r="13" spans="1:10">
      <c r="A13" s="1" t="s">
        <v>225</v>
      </c>
      <c r="B13" s="1"/>
      <c r="C13" s="1"/>
      <c r="D13" s="66"/>
      <c r="E13" s="66"/>
      <c r="F13" s="66"/>
      <c r="G13" s="66"/>
    </row>
    <row r="14" spans="1:10">
      <c r="A14" s="1" t="s">
        <v>226</v>
      </c>
      <c r="B14" s="1"/>
      <c r="C14" s="1"/>
      <c r="D14" s="66"/>
      <c r="E14" s="66"/>
      <c r="F14" s="66"/>
      <c r="G14" s="66"/>
    </row>
    <row r="15" spans="1:10">
      <c r="A15" s="1"/>
      <c r="B15" s="1"/>
      <c r="C15" s="1"/>
      <c r="D15" s="66"/>
      <c r="E15" s="66"/>
      <c r="F15" s="66"/>
      <c r="G15" s="66"/>
    </row>
    <row r="16" spans="1:10">
      <c r="A16" s="1" t="s">
        <v>227</v>
      </c>
      <c r="B16" s="1"/>
      <c r="C16" s="1"/>
      <c r="D16" s="66"/>
      <c r="E16" s="66"/>
      <c r="F16" s="66"/>
      <c r="G16" s="66"/>
    </row>
    <row r="17" spans="1:10">
      <c r="A17" s="68"/>
      <c r="B17" s="66"/>
      <c r="C17" s="66"/>
      <c r="D17" s="66"/>
      <c r="E17" s="66"/>
      <c r="F17" s="66"/>
      <c r="G17" s="66" t="s">
        <v>228</v>
      </c>
    </row>
    <row r="18" spans="1:10">
      <c r="A18" s="66"/>
      <c r="B18" s="66"/>
      <c r="C18" s="66"/>
      <c r="D18" s="66"/>
      <c r="E18" s="66"/>
      <c r="F18" s="66"/>
      <c r="G18" s="66"/>
    </row>
    <row r="19" spans="1:10">
      <c r="A19" s="69"/>
      <c r="B19" s="66"/>
      <c r="C19" s="66"/>
      <c r="D19" s="66"/>
      <c r="E19" s="66"/>
      <c r="F19" s="66"/>
      <c r="G19" s="66"/>
    </row>
    <row r="20" spans="1:10">
      <c r="A20" s="68"/>
      <c r="B20" s="66"/>
      <c r="C20" s="66"/>
      <c r="D20" s="66"/>
      <c r="E20" s="66"/>
      <c r="F20" s="66"/>
      <c r="G20" s="66"/>
    </row>
    <row r="21" spans="1:10">
      <c r="A21" s="68"/>
      <c r="B21" s="66"/>
      <c r="C21" s="66"/>
      <c r="D21" s="66"/>
      <c r="E21" s="66"/>
      <c r="F21" s="66"/>
      <c r="G21" s="66"/>
    </row>
    <row r="22" spans="1:10">
      <c r="A22" s="68"/>
      <c r="B22" s="66"/>
      <c r="C22" s="66"/>
      <c r="D22" s="66"/>
      <c r="E22" s="66"/>
      <c r="F22" s="66"/>
      <c r="G22" s="66"/>
    </row>
    <row r="23" spans="1:10">
      <c r="A23" s="68"/>
      <c r="B23" s="66"/>
      <c r="C23" s="66"/>
      <c r="D23" s="66"/>
      <c r="E23" s="66"/>
      <c r="F23" s="66"/>
      <c r="H23" s="70"/>
    </row>
    <row r="24" spans="1:10">
      <c r="A24" s="68"/>
      <c r="B24" s="66"/>
      <c r="C24" s="66"/>
      <c r="D24" s="66"/>
      <c r="E24" s="66"/>
      <c r="F24" s="66"/>
      <c r="H24" s="70"/>
    </row>
    <row r="25" spans="1:10">
      <c r="A25" s="68"/>
      <c r="B25" s="66"/>
      <c r="C25" s="66"/>
      <c r="D25" s="66"/>
      <c r="E25" s="66"/>
      <c r="F25" s="66"/>
      <c r="G25" s="66"/>
    </row>
    <row r="26" spans="1:10">
      <c r="A26" s="68"/>
      <c r="B26" s="66"/>
      <c r="C26" s="66"/>
      <c r="D26" s="66"/>
      <c r="E26" s="66"/>
      <c r="F26" s="66"/>
      <c r="G26" s="66"/>
    </row>
    <row r="27" spans="1:10">
      <c r="A27" s="69"/>
      <c r="B27" s="66"/>
      <c r="C27" s="66"/>
      <c r="D27" s="66"/>
      <c r="E27" s="66"/>
      <c r="F27" s="66"/>
      <c r="G27" s="66"/>
    </row>
    <row r="28" spans="1:10">
      <c r="A28" s="68"/>
      <c r="B28" s="66"/>
      <c r="C28" s="66"/>
      <c r="D28" s="66"/>
      <c r="E28" s="66"/>
      <c r="F28" s="66"/>
      <c r="G28" s="32" t="s">
        <v>229</v>
      </c>
    </row>
    <row r="29" spans="1:10">
      <c r="A29" s="68"/>
      <c r="B29" s="66"/>
      <c r="C29" s="66"/>
      <c r="D29" s="66"/>
      <c r="E29" s="66"/>
      <c r="F29" s="66"/>
      <c r="G29" s="32" t="s">
        <v>230</v>
      </c>
      <c r="J29" s="71"/>
    </row>
    <row r="30" spans="1:10">
      <c r="A30" s="68"/>
      <c r="B30" s="66"/>
      <c r="C30" s="66"/>
      <c r="D30" s="66"/>
      <c r="E30" s="66"/>
      <c r="F30" s="66"/>
      <c r="G30" s="66"/>
      <c r="J30" s="13"/>
    </row>
    <row r="31" spans="1:10">
      <c r="A31" s="69"/>
      <c r="B31" s="66"/>
      <c r="C31" s="66"/>
      <c r="D31" s="66"/>
      <c r="E31" s="66"/>
      <c r="F31" s="66"/>
      <c r="G31" s="66"/>
    </row>
    <row r="32" spans="1:10">
      <c r="A32" s="68"/>
      <c r="B32" s="66"/>
      <c r="C32" s="66"/>
      <c r="D32" s="66"/>
      <c r="E32" s="66"/>
      <c r="F32" s="66"/>
      <c r="G32" s="66"/>
    </row>
    <row r="33" spans="1:10">
      <c r="A33" s="68"/>
      <c r="B33" s="66"/>
      <c r="C33" s="66"/>
      <c r="D33" s="66"/>
      <c r="E33" s="66"/>
      <c r="F33" s="66"/>
      <c r="G33" s="66"/>
      <c r="J33" s="71"/>
    </row>
    <row r="34" spans="1:10">
      <c r="B34" s="66"/>
      <c r="C34" s="66"/>
      <c r="D34" s="66"/>
      <c r="E34" s="66"/>
      <c r="F34" s="66"/>
      <c r="G34" s="66"/>
    </row>
    <row r="35" spans="1:10">
      <c r="A35" s="68"/>
      <c r="B35" s="66"/>
      <c r="C35" s="66"/>
      <c r="D35" s="66"/>
      <c r="E35" s="66"/>
      <c r="F35" s="66"/>
    </row>
    <row r="36" spans="1:10">
      <c r="A36" s="68"/>
      <c r="B36" s="66"/>
      <c r="C36" s="66"/>
      <c r="D36" s="66"/>
      <c r="E36" s="66"/>
      <c r="F36" s="66"/>
      <c r="J36" s="13"/>
    </row>
    <row r="37" spans="1:10">
      <c r="A37" s="69"/>
      <c r="B37" s="66"/>
      <c r="C37" s="66"/>
      <c r="D37" s="66"/>
      <c r="E37" s="66"/>
      <c r="F37" s="66"/>
      <c r="G37" s="66"/>
      <c r="J37" s="64"/>
    </row>
    <row r="38" spans="1:10">
      <c r="A38" s="68"/>
      <c r="B38" s="66"/>
      <c r="C38" s="66"/>
      <c r="D38" s="66"/>
      <c r="E38" s="66"/>
      <c r="F38" s="66"/>
      <c r="G38" s="66"/>
    </row>
    <row r="39" spans="1:10">
      <c r="B39" s="66"/>
      <c r="C39" s="66"/>
      <c r="D39" s="66"/>
      <c r="E39" s="66"/>
      <c r="F39" s="66"/>
      <c r="G39" s="66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7</vt:i4>
      </vt:variant>
    </vt:vector>
  </HeadingPairs>
  <TitlesOfParts>
    <vt:vector size="24" baseType="lpstr">
      <vt:lpstr>Scenario Summary</vt:lpstr>
      <vt:lpstr>Scenario Summary 2</vt:lpstr>
      <vt:lpstr>Scenario Summary 3</vt:lpstr>
      <vt:lpstr>BDA PILOT DEC 2022 Q23</vt:lpstr>
      <vt:lpstr>BDA DECMBER 2022 Q22</vt:lpstr>
      <vt:lpstr>BDA DECMBER 2022 Q23</vt:lpstr>
      <vt:lpstr>BDA APRIL 2023 Q21</vt:lpstr>
      <vt:lpstr>BDA AUGUST 2023 Q22</vt:lpstr>
      <vt:lpstr>BDA DECEMBER 2023 Q22</vt:lpstr>
      <vt:lpstr>LOAN SCHEDULE &amp; DATA TABLE Q1</vt:lpstr>
      <vt:lpstr>BDA AUGUST 2024 Q22 LOAN S</vt:lpstr>
      <vt:lpstr>FMDA APRIL 2024 Q24 CB</vt:lpstr>
      <vt:lpstr>FMDA APRIL 2024 Q22 CB</vt:lpstr>
      <vt:lpstr>JAWABU LIMITED</vt:lpstr>
      <vt:lpstr>BDA DECEMBER 2024 Q22</vt:lpstr>
      <vt:lpstr>BDA APRIL 2025 Q22</vt:lpstr>
      <vt:lpstr>FMDA APRIL 2025 Q21</vt:lpstr>
      <vt:lpstr>annual_interest</vt:lpstr>
      <vt:lpstr>Annual_interest_r</vt:lpstr>
      <vt:lpstr>'BDA PILOT DEC 2022 Q23'!INTEREST_RATE</vt:lpstr>
      <vt:lpstr>LOAN</vt:lpstr>
      <vt:lpstr>Total_interest</vt:lpstr>
      <vt:lpstr>years</vt:lpstr>
      <vt:lpstr>years__n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OMONDI OTIENO</dc:creator>
  <cp:lastModifiedBy>OMONDI OTIENO</cp:lastModifiedBy>
  <dcterms:created xsi:type="dcterms:W3CDTF">2024-10-28T14:31:19Z</dcterms:created>
  <dcterms:modified xsi:type="dcterms:W3CDTF">2025-07-28T22:36:05Z</dcterms:modified>
</cp:coreProperties>
</file>