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ink/ink1.xml" ContentType="application/inkml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LINTON 2025\BACKED DATA\CPA ITEMS\BDA\MAY AUGUST 2025\"/>
    </mc:Choice>
  </mc:AlternateContent>
  <xr:revisionPtr revIDLastSave="0" documentId="13_ncr:1_{9E51EDE7-7E3E-42F3-A3F8-BC3DBAFFD6BC}" xr6:coauthVersionLast="47" xr6:coauthVersionMax="47" xr10:uidLastSave="{00000000-0000-0000-0000-000000000000}"/>
  <bookViews>
    <workbookView xWindow="-110" yWindow="-110" windowWidth="19420" windowHeight="10300" firstSheet="13" activeTab="15" xr2:uid="{3B5A57BA-CB0E-44B8-AAE5-C53E9FABFD9F}"/>
  </bookViews>
  <sheets>
    <sheet name="Sheet2" sheetId="31" r:id="rId1"/>
    <sheet name="BDA DECEMBER 2022 Q25" sheetId="18" r:id="rId2"/>
    <sheet name="BDA APRIL 2023 Q22" sheetId="19" r:id="rId3"/>
    <sheet name="BDA AUGUST 2023 Q23" sheetId="17" r:id="rId4"/>
    <sheet name="BDA DECEMBER 2023 Q23" sheetId="20" r:id="rId5"/>
    <sheet name="BDA APRIL 2024 Q23" sheetId="21" r:id="rId6"/>
    <sheet name="BDA AUGUST 2024 Q23 (2)" sheetId="32" r:id="rId7"/>
    <sheet name="BDA AUGUST 2024 Q23" sheetId="15" r:id="rId8"/>
    <sheet name="BEP ANALYSIS" sheetId="16" r:id="rId9"/>
    <sheet name="FUNCTIONAL BUDGET" sheetId="23" r:id="rId10"/>
    <sheet name="CASH BUDGET" sheetId="24" r:id="rId11"/>
    <sheet name="FLEXED BUDGET AND VARIANCES Q1" sheetId="25" r:id="rId12"/>
    <sheet name="FLEXED BUDGET AND VARIANCES Q2" sheetId="26" r:id="rId13"/>
    <sheet name="BDA DECEMBER 2024 Q23" sheetId="28" r:id="rId14"/>
    <sheet name="FMDA AUGUST 2024 Q21b" sheetId="29" r:id="rId15"/>
    <sheet name="BDA APRIL 2025 Q23" sheetId="30" r:id="rId16"/>
    <sheet name="Sheet1" sheetId="27" state="hidden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0" i="28" l="1"/>
  <c r="AJ32" i="28"/>
  <c r="AJ31" i="28"/>
  <c r="AJ30" i="28"/>
  <c r="AJ28" i="28"/>
  <c r="AJ17" i="28"/>
  <c r="AJ18" i="28"/>
  <c r="AJ19" i="28"/>
  <c r="AJ20" i="28"/>
  <c r="AJ21" i="28"/>
  <c r="AJ22" i="28"/>
  <c r="AJ23" i="28"/>
  <c r="AJ24" i="28"/>
  <c r="AJ25" i="28"/>
  <c r="AJ26" i="28"/>
  <c r="AJ13" i="28"/>
  <c r="AJ7" i="28"/>
  <c r="AJ8" i="28"/>
  <c r="AJ9" i="28"/>
  <c r="AJ10" i="28"/>
  <c r="AJ11" i="28"/>
  <c r="AJ6" i="28"/>
  <c r="Z31" i="28"/>
  <c r="Z32" i="28"/>
  <c r="AA31" i="28" s="1"/>
  <c r="AA32" i="28" s="1"/>
  <c r="AB31" i="28" s="1"/>
  <c r="AB32" i="28" s="1"/>
  <c r="AC31" i="28" s="1"/>
  <c r="AC32" i="28" s="1"/>
  <c r="AD31" i="28" s="1"/>
  <c r="AD32" i="28" s="1"/>
  <c r="AE31" i="28" s="1"/>
  <c r="AE32" i="28" s="1"/>
  <c r="AF31" i="28" s="1"/>
  <c r="AF32" i="28" s="1"/>
  <c r="AG31" i="28" s="1"/>
  <c r="AG32" i="28" s="1"/>
  <c r="AH31" i="28" s="1"/>
  <c r="AH32" i="28" s="1"/>
  <c r="AI31" i="28" s="1"/>
  <c r="AI32" i="28" s="1"/>
  <c r="Y32" i="28"/>
  <c r="X32" i="28"/>
  <c r="Y31" i="28"/>
  <c r="Y30" i="28"/>
  <c r="Z30" i="28"/>
  <c r="AA30" i="28"/>
  <c r="AB30" i="28"/>
  <c r="AC30" i="28"/>
  <c r="AD30" i="28"/>
  <c r="AE30" i="28"/>
  <c r="AF30" i="28"/>
  <c r="AG30" i="28"/>
  <c r="AH30" i="28"/>
  <c r="AI30" i="28"/>
  <c r="Y28" i="28"/>
  <c r="Z28" i="28"/>
  <c r="AA28" i="28"/>
  <c r="AB28" i="28"/>
  <c r="AC28" i="28"/>
  <c r="AD28" i="28"/>
  <c r="AE28" i="28"/>
  <c r="AF28" i="28"/>
  <c r="AG28" i="28"/>
  <c r="AH28" i="28"/>
  <c r="AI28" i="28"/>
  <c r="X28" i="28"/>
  <c r="Y13" i="28"/>
  <c r="Z13" i="28"/>
  <c r="AA13" i="28"/>
  <c r="AB13" i="28"/>
  <c r="AC13" i="28"/>
  <c r="AD13" i="28"/>
  <c r="AE13" i="28"/>
  <c r="AF13" i="28"/>
  <c r="AG13" i="28"/>
  <c r="AH13" i="28"/>
  <c r="AI13" i="28"/>
  <c r="X13" i="28"/>
  <c r="AI22" i="28"/>
  <c r="AE22" i="28"/>
  <c r="AA22" i="28"/>
  <c r="AI20" i="28"/>
  <c r="AE20" i="28"/>
  <c r="AA20" i="28"/>
  <c r="AI18" i="28"/>
  <c r="AE18" i="28"/>
  <c r="AA18" i="28"/>
  <c r="AI8" i="28"/>
  <c r="AE8" i="28"/>
  <c r="AA8" i="28"/>
  <c r="AF7" i="28"/>
  <c r="AB7" i="28"/>
  <c r="X7" i="28"/>
  <c r="AG6" i="28"/>
  <c r="AF6" i="28"/>
  <c r="AC6" i="28"/>
  <c r="AB6" i="28"/>
  <c r="Z6" i="28"/>
  <c r="Y6" i="28"/>
  <c r="X6" i="28"/>
  <c r="S17" i="28"/>
  <c r="S14" i="28"/>
  <c r="S15" i="28"/>
  <c r="S16" i="28"/>
  <c r="S13" i="28"/>
  <c r="R17" i="28"/>
  <c r="R14" i="28"/>
  <c r="R15" i="28"/>
  <c r="R16" i="28"/>
  <c r="R13" i="28"/>
  <c r="L13" i="28"/>
  <c r="L17" i="28" s="1"/>
  <c r="H14" i="28"/>
  <c r="H15" i="28"/>
  <c r="H16" i="28"/>
  <c r="H13" i="28"/>
  <c r="G14" i="28"/>
  <c r="O14" i="28" s="1"/>
  <c r="G15" i="28"/>
  <c r="O15" i="28" s="1"/>
  <c r="G16" i="28"/>
  <c r="O16" i="28" s="1"/>
  <c r="G13" i="28"/>
  <c r="O13" i="28" s="1"/>
  <c r="F14" i="28"/>
  <c r="J14" i="28" s="1"/>
  <c r="F15" i="28"/>
  <c r="K15" i="28" s="1"/>
  <c r="F16" i="28"/>
  <c r="J16" i="28" s="1"/>
  <c r="F13" i="28"/>
  <c r="K13" i="28" s="1"/>
  <c r="D17" i="28"/>
  <c r="D107" i="15"/>
  <c r="E107" i="15"/>
  <c r="C107" i="15"/>
  <c r="D99" i="15"/>
  <c r="E99" i="15"/>
  <c r="C99" i="15"/>
  <c r="D98" i="15"/>
  <c r="E98" i="15"/>
  <c r="C98" i="15"/>
  <c r="D97" i="15"/>
  <c r="E97" i="15"/>
  <c r="C97" i="15"/>
  <c r="D96" i="15"/>
  <c r="E96" i="15"/>
  <c r="C96" i="15"/>
  <c r="D49" i="15"/>
  <c r="D95" i="15"/>
  <c r="E95" i="15"/>
  <c r="C95" i="15"/>
  <c r="D92" i="15"/>
  <c r="D93" i="15" s="1"/>
  <c r="E92" i="15"/>
  <c r="E93" i="15" s="1"/>
  <c r="C92" i="15"/>
  <c r="C93" i="15" s="1"/>
  <c r="D91" i="15"/>
  <c r="E91" i="15"/>
  <c r="C91" i="15"/>
  <c r="D83" i="15"/>
  <c r="E83" i="15"/>
  <c r="C83" i="15"/>
  <c r="C66" i="32"/>
  <c r="C97" i="32"/>
  <c r="D94" i="32"/>
  <c r="E94" i="32"/>
  <c r="C94" i="32"/>
  <c r="H17" i="28" l="1"/>
  <c r="K16" i="28"/>
  <c r="N14" i="28"/>
  <c r="O17" i="28"/>
  <c r="J15" i="28"/>
  <c r="J17" i="28" s="1"/>
  <c r="K14" i="28"/>
  <c r="G17" i="28"/>
  <c r="N13" i="28"/>
  <c r="N17" i="28" s="1"/>
  <c r="N16" i="28"/>
  <c r="N15" i="28"/>
  <c r="F17" i="28"/>
  <c r="K17" i="28"/>
  <c r="C74" i="32" l="1"/>
  <c r="D98" i="32"/>
  <c r="E98" i="32"/>
  <c r="E99" i="32" s="1"/>
  <c r="D97" i="32"/>
  <c r="D99" i="32" s="1"/>
  <c r="E97" i="32"/>
  <c r="C98" i="32"/>
  <c r="C99" i="32" s="1"/>
  <c r="D96" i="32"/>
  <c r="E96" i="32"/>
  <c r="C96" i="32"/>
  <c r="D95" i="32"/>
  <c r="E95" i="32"/>
  <c r="C95" i="32"/>
  <c r="D93" i="32"/>
  <c r="E93" i="32"/>
  <c r="C93" i="32"/>
  <c r="D92" i="32"/>
  <c r="E92" i="32"/>
  <c r="C92" i="32"/>
  <c r="D91" i="32"/>
  <c r="E91" i="32"/>
  <c r="C91" i="32"/>
  <c r="D89" i="32"/>
  <c r="E89" i="32"/>
  <c r="C89" i="32"/>
  <c r="D88" i="32"/>
  <c r="E88" i="32"/>
  <c r="C88" i="32"/>
  <c r="D87" i="32"/>
  <c r="E87" i="32"/>
  <c r="C87" i="32"/>
  <c r="D86" i="32"/>
  <c r="E86" i="32"/>
  <c r="C86" i="32"/>
  <c r="D83" i="32"/>
  <c r="E83" i="32"/>
  <c r="C83" i="32"/>
  <c r="C69" i="32"/>
  <c r="E66" i="32"/>
  <c r="E62" i="32"/>
  <c r="C62" i="32"/>
  <c r="E54" i="32"/>
  <c r="E53" i="32"/>
  <c r="E69" i="32" s="1"/>
  <c r="D53" i="32"/>
  <c r="D62" i="32" s="1"/>
  <c r="C50" i="32"/>
  <c r="B50" i="32"/>
  <c r="D49" i="32"/>
  <c r="D50" i="32" s="1"/>
  <c r="B49" i="32"/>
  <c r="D48" i="32"/>
  <c r="C48" i="32"/>
  <c r="B48" i="32"/>
  <c r="D47" i="32"/>
  <c r="C47" i="32"/>
  <c r="B47" i="32"/>
  <c r="D46" i="32"/>
  <c r="C46" i="32"/>
  <c r="B46" i="32"/>
  <c r="C25" i="32"/>
  <c r="C16" i="32"/>
  <c r="G15" i="32"/>
  <c r="H15" i="32" s="1"/>
  <c r="F15" i="32"/>
  <c r="E15" i="32"/>
  <c r="F14" i="32"/>
  <c r="E14" i="32"/>
  <c r="G14" i="32" s="1"/>
  <c r="H14" i="32" s="1"/>
  <c r="D14" i="32"/>
  <c r="G13" i="32"/>
  <c r="H13" i="32" s="1"/>
  <c r="F13" i="32"/>
  <c r="E13" i="32"/>
  <c r="F12" i="32"/>
  <c r="F16" i="32" s="1"/>
  <c r="D12" i="32"/>
  <c r="E12" i="32" s="1"/>
  <c r="G12" i="32" s="1"/>
  <c r="H12" i="32" s="1"/>
  <c r="F11" i="32"/>
  <c r="D11" i="32"/>
  <c r="E11" i="32" s="1"/>
  <c r="F10" i="32"/>
  <c r="E10" i="32"/>
  <c r="G10" i="32" s="1"/>
  <c r="D10" i="32"/>
  <c r="D8" i="32"/>
  <c r="E8" i="32" s="1"/>
  <c r="G8" i="32" s="1"/>
  <c r="C69" i="15"/>
  <c r="C62" i="15"/>
  <c r="D53" i="15"/>
  <c r="D54" i="15" s="1"/>
  <c r="E53" i="15"/>
  <c r="E54" i="15" s="1"/>
  <c r="D47" i="15"/>
  <c r="D48" i="15"/>
  <c r="D46" i="15"/>
  <c r="C47" i="15"/>
  <c r="C48" i="15"/>
  <c r="C46" i="15"/>
  <c r="C50" i="15" s="1"/>
  <c r="D65" i="15" s="1"/>
  <c r="B50" i="15"/>
  <c r="B47" i="15"/>
  <c r="B48" i="15"/>
  <c r="B49" i="15"/>
  <c r="B46" i="15"/>
  <c r="F11" i="15"/>
  <c r="F12" i="15"/>
  <c r="F13" i="15"/>
  <c r="F14" i="15"/>
  <c r="F15" i="15"/>
  <c r="F10" i="15"/>
  <c r="E15" i="15"/>
  <c r="E13" i="15"/>
  <c r="D10" i="15"/>
  <c r="E10" i="15" s="1"/>
  <c r="D11" i="15"/>
  <c r="E11" i="15" s="1"/>
  <c r="D12" i="15"/>
  <c r="E12" i="15" s="1"/>
  <c r="D14" i="15"/>
  <c r="E14" i="15" s="1"/>
  <c r="D8" i="15"/>
  <c r="E8" i="15" s="1"/>
  <c r="G8" i="15" s="1"/>
  <c r="C16" i="15"/>
  <c r="I14" i="26"/>
  <c r="I15" i="26"/>
  <c r="I16" i="26"/>
  <c r="I17" i="26"/>
  <c r="I18" i="26"/>
  <c r="I19" i="26"/>
  <c r="I20" i="26"/>
  <c r="I21" i="26"/>
  <c r="I10" i="26"/>
  <c r="I11" i="26"/>
  <c r="I12" i="26"/>
  <c r="I13" i="26"/>
  <c r="I9" i="26"/>
  <c r="I8" i="26"/>
  <c r="H8" i="26"/>
  <c r="F12" i="26"/>
  <c r="H9" i="26"/>
  <c r="H10" i="26"/>
  <c r="H11" i="26"/>
  <c r="H12" i="26"/>
  <c r="H13" i="26"/>
  <c r="H14" i="26"/>
  <c r="H15" i="26"/>
  <c r="H16" i="26"/>
  <c r="H17" i="26"/>
  <c r="H18" i="26"/>
  <c r="H19" i="26"/>
  <c r="H20" i="26"/>
  <c r="H21" i="26"/>
  <c r="G10" i="26"/>
  <c r="G11" i="26"/>
  <c r="G12" i="26"/>
  <c r="G13" i="26"/>
  <c r="G16" i="26"/>
  <c r="G17" i="26"/>
  <c r="G20" i="26"/>
  <c r="G21" i="26"/>
  <c r="F8" i="26"/>
  <c r="G8" i="26" s="1"/>
  <c r="G30" i="26"/>
  <c r="E14" i="26"/>
  <c r="E22" i="26" s="1"/>
  <c r="B14" i="26"/>
  <c r="B22" i="26" s="1"/>
  <c r="D20" i="26"/>
  <c r="F20" i="26" s="1"/>
  <c r="D16" i="26"/>
  <c r="F16" i="26" s="1"/>
  <c r="D13" i="26"/>
  <c r="F13" i="26" s="1"/>
  <c r="C5" i="26"/>
  <c r="D5" i="26" s="1"/>
  <c r="D6" i="26"/>
  <c r="C12" i="26"/>
  <c r="D12" i="26" s="1"/>
  <c r="C8" i="26"/>
  <c r="D8" i="26" s="1"/>
  <c r="C10" i="26"/>
  <c r="D10" i="26" s="1"/>
  <c r="F10" i="26" s="1"/>
  <c r="C11" i="26"/>
  <c r="D11" i="26" s="1"/>
  <c r="F11" i="26" s="1"/>
  <c r="C17" i="26"/>
  <c r="D17" i="26" s="1"/>
  <c r="F17" i="26" s="1"/>
  <c r="C21" i="26"/>
  <c r="D21" i="26" s="1"/>
  <c r="F21" i="26" s="1"/>
  <c r="E65" i="15" l="1"/>
  <c r="H10" i="32"/>
  <c r="E16" i="32"/>
  <c r="G11" i="32"/>
  <c r="H11" i="32" s="1"/>
  <c r="D54" i="32"/>
  <c r="D66" i="32" s="1"/>
  <c r="D69" i="32"/>
  <c r="E65" i="32"/>
  <c r="E67" i="32" s="1"/>
  <c r="E68" i="32" s="1"/>
  <c r="E70" i="32" s="1"/>
  <c r="E74" i="32" s="1"/>
  <c r="C65" i="32"/>
  <c r="C67" i="32" s="1"/>
  <c r="C68" i="32" s="1"/>
  <c r="C70" i="32" s="1"/>
  <c r="D65" i="32"/>
  <c r="D67" i="32" s="1"/>
  <c r="D68" i="32" s="1"/>
  <c r="D70" i="32" s="1"/>
  <c r="D74" i="32" s="1"/>
  <c r="D66" i="15"/>
  <c r="D67" i="15" s="1"/>
  <c r="E69" i="15"/>
  <c r="C66" i="15"/>
  <c r="E62" i="15"/>
  <c r="D69" i="15"/>
  <c r="E66" i="15"/>
  <c r="E67" i="15" s="1"/>
  <c r="D62" i="15"/>
  <c r="C65" i="15"/>
  <c r="G12" i="15"/>
  <c r="H12" i="15" s="1"/>
  <c r="G10" i="15"/>
  <c r="H10" i="15" s="1"/>
  <c r="G11" i="15"/>
  <c r="H11" i="15" s="1"/>
  <c r="G15" i="15"/>
  <c r="H15" i="15" s="1"/>
  <c r="G14" i="15"/>
  <c r="H14" i="15" s="1"/>
  <c r="G13" i="15"/>
  <c r="H13" i="15" s="1"/>
  <c r="D50" i="15"/>
  <c r="E16" i="15"/>
  <c r="F16" i="15"/>
  <c r="F22" i="26"/>
  <c r="G32" i="26" s="1"/>
  <c r="G33" i="26" s="1"/>
  <c r="D14" i="26"/>
  <c r="D22" i="26" s="1"/>
  <c r="C67" i="15" l="1"/>
  <c r="C68" i="15" s="1"/>
  <c r="C70" i="15" s="1"/>
  <c r="C74" i="15" s="1"/>
  <c r="D87" i="15"/>
  <c r="E87" i="15"/>
  <c r="C87" i="15"/>
  <c r="E86" i="15"/>
  <c r="E88" i="15" s="1"/>
  <c r="E89" i="15" s="1"/>
  <c r="E94" i="15" s="1"/>
  <c r="D86" i="15"/>
  <c r="D88" i="15" s="1"/>
  <c r="D89" i="15" s="1"/>
  <c r="D94" i="15" s="1"/>
  <c r="C86" i="15"/>
  <c r="C88" i="15" s="1"/>
  <c r="C89" i="15" s="1"/>
  <c r="C94" i="15" s="1"/>
  <c r="D75" i="32"/>
  <c r="D76" i="32" s="1"/>
  <c r="E75" i="32"/>
  <c r="E76" i="32" s="1"/>
  <c r="C75" i="32"/>
  <c r="C76" i="32" s="1"/>
  <c r="G16" i="32"/>
  <c r="D68" i="15"/>
  <c r="D70" i="15" s="1"/>
  <c r="D74" i="15" s="1"/>
  <c r="E68" i="15"/>
  <c r="E70" i="15" s="1"/>
  <c r="E74" i="15" s="1"/>
  <c r="G16" i="15"/>
  <c r="E105" i="15" l="1"/>
  <c r="E108" i="15" s="1"/>
  <c r="E75" i="15"/>
  <c r="E76" i="15"/>
  <c r="D105" i="15"/>
  <c r="D108" i="15" s="1"/>
  <c r="D75" i="15"/>
  <c r="D76" i="15" s="1"/>
  <c r="C105" i="15"/>
  <c r="C108" i="15" s="1"/>
  <c r="C75" i="15"/>
  <c r="C76" i="15" s="1"/>
  <c r="H27" i="21"/>
  <c r="H28" i="21"/>
  <c r="H29" i="21"/>
  <c r="H30" i="21"/>
  <c r="H31" i="21"/>
  <c r="H32" i="21"/>
  <c r="H33" i="21"/>
  <c r="H34" i="21"/>
  <c r="H35" i="21"/>
  <c r="H36" i="21"/>
  <c r="H26" i="21"/>
  <c r="G27" i="21"/>
  <c r="G28" i="21"/>
  <c r="G29" i="21"/>
  <c r="G30" i="21"/>
  <c r="G31" i="21"/>
  <c r="G32" i="21"/>
  <c r="G33" i="21"/>
  <c r="G34" i="21"/>
  <c r="G35" i="21"/>
  <c r="G36" i="21"/>
  <c r="G26" i="21"/>
  <c r="J26" i="21"/>
  <c r="J27" i="21"/>
  <c r="J28" i="21"/>
  <c r="J29" i="21"/>
  <c r="J30" i="21"/>
  <c r="J31" i="21"/>
  <c r="J32" i="21"/>
  <c r="J33" i="21"/>
  <c r="J34" i="21"/>
  <c r="J35" i="21"/>
  <c r="J36" i="21"/>
  <c r="I26" i="21"/>
  <c r="F27" i="21"/>
  <c r="F28" i="21"/>
  <c r="F29" i="21"/>
  <c r="F30" i="21"/>
  <c r="F31" i="21"/>
  <c r="F32" i="21"/>
  <c r="F33" i="21"/>
  <c r="F34" i="21"/>
  <c r="F35" i="21"/>
  <c r="F36" i="21"/>
  <c r="F26" i="21"/>
  <c r="E26" i="21"/>
  <c r="C27" i="21"/>
  <c r="C28" i="21"/>
  <c r="C29" i="21"/>
  <c r="C30" i="21"/>
  <c r="C31" i="21"/>
  <c r="C32" i="21"/>
  <c r="C33" i="21"/>
  <c r="C34" i="21"/>
  <c r="C35" i="21"/>
  <c r="C36" i="21"/>
  <c r="C26" i="21"/>
  <c r="I27" i="21"/>
  <c r="I28" i="21"/>
  <c r="I29" i="21"/>
  <c r="I30" i="21"/>
  <c r="I31" i="21"/>
  <c r="I32" i="21"/>
  <c r="I33" i="21"/>
  <c r="I34" i="21"/>
  <c r="I35" i="21"/>
  <c r="I36" i="21"/>
  <c r="G22" i="21"/>
  <c r="E27" i="21"/>
  <c r="E28" i="21"/>
  <c r="E29" i="21"/>
  <c r="E30" i="21"/>
  <c r="E31" i="21"/>
  <c r="E32" i="21"/>
  <c r="E33" i="21"/>
  <c r="E34" i="21"/>
  <c r="E35" i="21"/>
  <c r="E36" i="21"/>
  <c r="H20" i="21"/>
  <c r="B27" i="21"/>
  <c r="B28" i="21"/>
  <c r="B29" i="21"/>
  <c r="B30" i="21"/>
  <c r="B31" i="21"/>
  <c r="B32" i="21"/>
  <c r="B33" i="21"/>
  <c r="B34" i="21"/>
  <c r="B35" i="21"/>
  <c r="B36" i="21"/>
  <c r="B26" i="21"/>
  <c r="T9" i="21"/>
  <c r="T21" i="21"/>
  <c r="T22" i="21"/>
  <c r="T23" i="21"/>
  <c r="T24" i="21"/>
  <c r="T25" i="21"/>
  <c r="S10" i="21"/>
  <c r="T10" i="21" s="1"/>
  <c r="S11" i="21"/>
  <c r="T11" i="21" s="1"/>
  <c r="S12" i="21"/>
  <c r="T12" i="21" s="1"/>
  <c r="S13" i="21"/>
  <c r="T13" i="21" s="1"/>
  <c r="S14" i="21"/>
  <c r="T14" i="21" s="1"/>
  <c r="S15" i="21"/>
  <c r="T15" i="21" s="1"/>
  <c r="S16" i="21"/>
  <c r="T16" i="21" s="1"/>
  <c r="S17" i="21"/>
  <c r="T17" i="21" s="1"/>
  <c r="S18" i="21"/>
  <c r="T18" i="21" s="1"/>
  <c r="S19" i="21"/>
  <c r="T19" i="21" s="1"/>
  <c r="S20" i="21"/>
  <c r="T20" i="21" s="1"/>
  <c r="S21" i="21"/>
  <c r="S22" i="21"/>
  <c r="S23" i="21"/>
  <c r="S24" i="21"/>
  <c r="S25" i="21"/>
  <c r="S26" i="21"/>
  <c r="T26" i="21" s="1"/>
  <c r="S27" i="21"/>
  <c r="T27" i="21" s="1"/>
  <c r="S28" i="21"/>
  <c r="T28" i="21" s="1"/>
  <c r="S29" i="21"/>
  <c r="T29" i="21" s="1"/>
  <c r="S9" i="21"/>
  <c r="L10" i="21"/>
  <c r="L11" i="21"/>
  <c r="L12" i="2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9" i="21"/>
  <c r="M1" i="21"/>
  <c r="P3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9" i="21"/>
  <c r="B60" i="17"/>
  <c r="B58" i="17"/>
  <c r="B65" i="17"/>
  <c r="C65" i="17"/>
  <c r="D65" i="17"/>
  <c r="E65" i="17"/>
  <c r="F65" i="17"/>
  <c r="B66" i="17"/>
  <c r="C66" i="17"/>
  <c r="D66" i="17"/>
  <c r="E66" i="17"/>
  <c r="F66" i="17"/>
  <c r="B67" i="17"/>
  <c r="C67" i="17"/>
  <c r="D67" i="17"/>
  <c r="E67" i="17"/>
  <c r="F67" i="17"/>
  <c r="B68" i="17"/>
  <c r="C68" i="17"/>
  <c r="D68" i="17"/>
  <c r="E68" i="17"/>
  <c r="F68" i="17"/>
  <c r="B69" i="17"/>
  <c r="C69" i="17"/>
  <c r="D69" i="17"/>
  <c r="E69" i="17"/>
  <c r="F69" i="17"/>
  <c r="A69" i="17"/>
  <c r="A68" i="17"/>
  <c r="A67" i="17"/>
  <c r="A66" i="17"/>
  <c r="A65" i="17"/>
  <c r="C60" i="17"/>
  <c r="D60" i="17"/>
  <c r="E60" i="17"/>
  <c r="F60" i="17"/>
  <c r="C58" i="17"/>
  <c r="D58" i="17"/>
  <c r="E58" i="17"/>
  <c r="F58" i="17"/>
  <c r="B50" i="17"/>
  <c r="B49" i="17"/>
  <c r="C53" i="17"/>
  <c r="D53" i="17"/>
  <c r="E53" i="17"/>
  <c r="F53" i="17"/>
  <c r="B53" i="17"/>
  <c r="C52" i="17"/>
  <c r="D52" i="17"/>
  <c r="E52" i="17"/>
  <c r="F52" i="17"/>
  <c r="B52" i="17"/>
  <c r="C50" i="17"/>
  <c r="D50" i="17"/>
  <c r="E50" i="17"/>
  <c r="F50" i="17"/>
  <c r="C49" i="17"/>
  <c r="D49" i="17"/>
  <c r="E49" i="17"/>
  <c r="F49" i="17"/>
  <c r="C48" i="17"/>
  <c r="D48" i="17"/>
  <c r="E48" i="17"/>
  <c r="F48" i="17"/>
  <c r="B48" i="17"/>
  <c r="C47" i="17"/>
  <c r="D47" i="17"/>
  <c r="E47" i="17"/>
  <c r="F47" i="17"/>
  <c r="B47" i="17"/>
  <c r="B42" i="17"/>
  <c r="B43" i="17" s="1"/>
  <c r="C41" i="17"/>
  <c r="D41" i="17"/>
  <c r="E41" i="17"/>
  <c r="F41" i="17"/>
  <c r="B41" i="17"/>
  <c r="C40" i="17"/>
  <c r="D40" i="17"/>
  <c r="E40" i="17"/>
  <c r="F40" i="17"/>
  <c r="B40" i="17"/>
  <c r="B39" i="17"/>
  <c r="C37" i="17"/>
  <c r="D37" i="17"/>
  <c r="E37" i="17"/>
  <c r="F37" i="17"/>
  <c r="B37" i="17"/>
  <c r="C36" i="17"/>
  <c r="D36" i="17"/>
  <c r="E36" i="17"/>
  <c r="F36" i="17"/>
  <c r="B36" i="17"/>
  <c r="B35" i="17"/>
  <c r="B32" i="17"/>
  <c r="C32" i="17"/>
  <c r="D32" i="17"/>
  <c r="D35" i="17" s="1"/>
  <c r="E32" i="17"/>
  <c r="E35" i="17" s="1"/>
  <c r="F32" i="17"/>
  <c r="B33" i="17"/>
  <c r="C33" i="17"/>
  <c r="D33" i="17"/>
  <c r="E33" i="17"/>
  <c r="F33" i="17"/>
  <c r="B34" i="17"/>
  <c r="C34" i="17"/>
  <c r="D34" i="17"/>
  <c r="E34" i="17"/>
  <c r="F34" i="17"/>
  <c r="C31" i="17"/>
  <c r="D31" i="17"/>
  <c r="E31" i="17"/>
  <c r="F31" i="17"/>
  <c r="B31" i="17"/>
  <c r="E17" i="17"/>
  <c r="F11" i="17"/>
  <c r="C12" i="17"/>
  <c r="D12" i="17"/>
  <c r="E12" i="17"/>
  <c r="F12" i="17"/>
  <c r="C13" i="17"/>
  <c r="D13" i="17" s="1"/>
  <c r="E13" i="17" s="1"/>
  <c r="F13" i="17" s="1"/>
  <c r="C14" i="17"/>
  <c r="D14" i="17"/>
  <c r="E14" i="17"/>
  <c r="F14" i="17"/>
  <c r="C15" i="17"/>
  <c r="D15" i="17"/>
  <c r="E15" i="17"/>
  <c r="F15" i="17" s="1"/>
  <c r="C16" i="17"/>
  <c r="D16" i="17" s="1"/>
  <c r="C17" i="17"/>
  <c r="D17" i="17"/>
  <c r="F17" i="17" s="1"/>
  <c r="C18" i="17"/>
  <c r="D18" i="17"/>
  <c r="E18" i="17" s="1"/>
  <c r="F18" i="17" s="1"/>
  <c r="C19" i="17"/>
  <c r="D19" i="17"/>
  <c r="E19" i="17" s="1"/>
  <c r="F19" i="17" s="1"/>
  <c r="D11" i="17"/>
  <c r="E11" i="17"/>
  <c r="C11" i="17"/>
  <c r="AT9" i="17"/>
  <c r="AT10" i="17"/>
  <c r="AT11" i="17"/>
  <c r="AT12" i="17"/>
  <c r="AT13" i="17"/>
  <c r="AT14" i="17"/>
  <c r="AT15" i="17"/>
  <c r="AT16" i="17"/>
  <c r="AT17" i="17"/>
  <c r="AT18" i="17"/>
  <c r="AT19" i="17"/>
  <c r="AT20" i="17"/>
  <c r="AT21" i="17"/>
  <c r="AT22" i="17"/>
  <c r="AT23" i="17"/>
  <c r="AT24" i="17"/>
  <c r="AT8" i="17"/>
  <c r="AR9" i="17"/>
  <c r="AS9" i="17" s="1"/>
  <c r="AR10" i="17"/>
  <c r="AS10" i="17" s="1"/>
  <c r="AR11" i="17"/>
  <c r="AS11" i="17" s="1"/>
  <c r="AR12" i="17"/>
  <c r="AS12" i="17" s="1"/>
  <c r="AR13" i="17"/>
  <c r="AS13" i="17" s="1"/>
  <c r="AR14" i="17"/>
  <c r="AS14" i="17" s="1"/>
  <c r="AR15" i="17"/>
  <c r="AS15" i="17" s="1"/>
  <c r="AR16" i="17"/>
  <c r="AS16" i="17" s="1"/>
  <c r="AR17" i="17"/>
  <c r="AS17" i="17" s="1"/>
  <c r="AR18" i="17"/>
  <c r="AS18" i="17" s="1"/>
  <c r="AR19" i="17"/>
  <c r="AS19" i="17" s="1"/>
  <c r="AR20" i="17"/>
  <c r="AS20" i="17" s="1"/>
  <c r="AR21" i="17"/>
  <c r="AS21" i="17" s="1"/>
  <c r="AR22" i="17"/>
  <c r="AS22" i="17" s="1"/>
  <c r="AR23" i="17"/>
  <c r="AS23" i="17" s="1"/>
  <c r="AR24" i="17"/>
  <c r="AS24" i="17" s="1"/>
  <c r="AR8" i="17"/>
  <c r="AS8" i="17" s="1"/>
  <c r="AO3" i="17"/>
  <c r="AN14" i="17"/>
  <c r="AN21" i="17"/>
  <c r="AN31" i="17"/>
  <c r="AN28" i="17"/>
  <c r="AN29" i="17" s="1"/>
  <c r="AN13" i="17"/>
  <c r="AO6" i="17"/>
  <c r="AO4" i="17"/>
  <c r="H134" i="19"/>
  <c r="H133" i="19"/>
  <c r="J133" i="19" s="1"/>
  <c r="K133" i="19" s="1"/>
  <c r="H132" i="19"/>
  <c r="H131" i="19"/>
  <c r="H71" i="18"/>
  <c r="H72" i="18"/>
  <c r="H73" i="18"/>
  <c r="H74" i="18"/>
  <c r="H75" i="18"/>
  <c r="H76" i="18"/>
  <c r="H77" i="18"/>
  <c r="H78" i="18"/>
  <c r="H79" i="18"/>
  <c r="H80" i="18"/>
  <c r="H81" i="18"/>
  <c r="H70" i="18"/>
  <c r="E20" i="31"/>
  <c r="E21" i="31"/>
  <c r="E22" i="31"/>
  <c r="D21" i="31"/>
  <c r="D22" i="31"/>
  <c r="D20" i="31"/>
  <c r="C21" i="31"/>
  <c r="C22" i="31"/>
  <c r="C20" i="31"/>
  <c r="H41" i="18"/>
  <c r="I41" i="18"/>
  <c r="J41" i="18"/>
  <c r="H42" i="18"/>
  <c r="I42" i="18"/>
  <c r="J42" i="18"/>
  <c r="H43" i="18"/>
  <c r="I43" i="18"/>
  <c r="J43" i="18"/>
  <c r="H44" i="18"/>
  <c r="I44" i="18"/>
  <c r="J44" i="18"/>
  <c r="J39" i="18"/>
  <c r="J40" i="18"/>
  <c r="J38" i="18"/>
  <c r="I39" i="18"/>
  <c r="I40" i="18"/>
  <c r="I38" i="18"/>
  <c r="H39" i="18"/>
  <c r="H40" i="18"/>
  <c r="H38" i="18"/>
  <c r="I6" i="18"/>
  <c r="L7" i="18"/>
  <c r="L6" i="18"/>
  <c r="I8" i="18"/>
  <c r="I5" i="18"/>
  <c r="I4" i="18"/>
  <c r="B55" i="17" l="1"/>
  <c r="D39" i="17"/>
  <c r="D42" i="17" s="1"/>
  <c r="E16" i="17"/>
  <c r="C39" i="17"/>
  <c r="C42" i="17" s="1"/>
  <c r="C35" i="17"/>
  <c r="F35" i="17"/>
  <c r="AO5" i="17"/>
  <c r="AO7" i="17" s="1"/>
  <c r="AN16" i="17"/>
  <c r="AN20" i="17" s="1"/>
  <c r="AN37" i="17" s="1"/>
  <c r="AN33" i="17"/>
  <c r="AN38" i="17" s="1"/>
  <c r="BC48" i="18"/>
  <c r="BC47" i="18" s="1"/>
  <c r="C43" i="17" l="1"/>
  <c r="C55" i="17"/>
  <c r="F16" i="17"/>
  <c r="F39" i="17" s="1"/>
  <c r="F42" i="17" s="1"/>
  <c r="E39" i="17"/>
  <c r="E42" i="17" s="1"/>
  <c r="D43" i="17"/>
  <c r="D55" i="17"/>
  <c r="AN24" i="17"/>
  <c r="BA11" i="18"/>
  <c r="BA12" i="18" s="1"/>
  <c r="BB12" i="18" s="1"/>
  <c r="BA10" i="18"/>
  <c r="BA9" i="18"/>
  <c r="AX21" i="18"/>
  <c r="AW21" i="18"/>
  <c r="BB16" i="18"/>
  <c r="BB17" i="18"/>
  <c r="BB18" i="18"/>
  <c r="BB19" i="18"/>
  <c r="BB20" i="18"/>
  <c r="BB15" i="18"/>
  <c r="BA16" i="18"/>
  <c r="BA17" i="18"/>
  <c r="BA18" i="18"/>
  <c r="BA19" i="18"/>
  <c r="BA20" i="18"/>
  <c r="BA15" i="18"/>
  <c r="BD24" i="18"/>
  <c r="BD29" i="18" s="1"/>
  <c r="E55" i="17" l="1"/>
  <c r="E43" i="17"/>
  <c r="F43" i="17"/>
  <c r="F55" i="17"/>
  <c r="AY21" i="18"/>
  <c r="BE36" i="18" s="1"/>
  <c r="AZ21" i="18"/>
  <c r="BE35" i="18" s="1"/>
  <c r="BD37" i="18" l="1"/>
  <c r="BE39" i="18" s="1"/>
  <c r="BD41" i="18" s="1"/>
  <c r="N14" i="26" l="1"/>
  <c r="N18" i="26" s="1"/>
  <c r="N22" i="26" s="1"/>
  <c r="B16" i="16" l="1"/>
  <c r="A16" i="16"/>
  <c r="B15" i="16"/>
  <c r="A15" i="16"/>
  <c r="B14" i="16"/>
  <c r="A14" i="16"/>
  <c r="B13" i="16"/>
  <c r="A13" i="16"/>
  <c r="C25" i="15" l="1"/>
</calcChain>
</file>

<file path=xl/sharedStrings.xml><?xml version="1.0" encoding="utf-8"?>
<sst xmlns="http://schemas.openxmlformats.org/spreadsheetml/2006/main" count="934" uniqueCount="562">
  <si>
    <t>Required:</t>
  </si>
  <si>
    <t>Required</t>
  </si>
  <si>
    <t>SECTION II – TOTAL 60 MARKS</t>
  </si>
  <si>
    <t>Scenario 1</t>
  </si>
  <si>
    <t>Scenario 2</t>
  </si>
  <si>
    <t>Scenario 3</t>
  </si>
  <si>
    <t>Registration Number:</t>
  </si>
  <si>
    <t>Question Twenty Two</t>
  </si>
  <si>
    <t>(2 marks)</t>
  </si>
  <si>
    <t>(3 marks)</t>
  </si>
  <si>
    <t>(6 marks)</t>
  </si>
  <si>
    <t>(4 marks)</t>
  </si>
  <si>
    <t>(Total: 20 marks)</t>
  </si>
  <si>
    <t xml:space="preserve">Selling price per unit </t>
  </si>
  <si>
    <t>Out of 10</t>
  </si>
  <si>
    <t>(12 marks)</t>
  </si>
  <si>
    <t>Growth rate</t>
  </si>
  <si>
    <t>QUESTION 23:</t>
  </si>
  <si>
    <t xml:space="preserve">Folico Manufacturing Limited  produces premium jewellery. The company prepares its budget for the year based on the estimated production and sales of its products. </t>
  </si>
  <si>
    <t>The following budget was prepared  for product "Malkia" for the current month based  on the production of  1,250 units.  However, due to unexpected demand, the company ended up</t>
  </si>
  <si>
    <t xml:space="preserve"> producing 1,500  units. </t>
  </si>
  <si>
    <t>Below are the budgeted and actual figures:</t>
  </si>
  <si>
    <t>Budgeted (for 1,250 units):</t>
  </si>
  <si>
    <t>Sh.''000''</t>
  </si>
  <si>
    <t>Direct materials</t>
  </si>
  <si>
    <t>Direct labour</t>
  </si>
  <si>
    <t>Variable manufacturing overhead</t>
  </si>
  <si>
    <t>Fixed manufacturing overhead</t>
  </si>
  <si>
    <t>Variable sales and administration expenses</t>
  </si>
  <si>
    <t>Fixed sales and administration expenses</t>
  </si>
  <si>
    <t>Total manufacturing costs</t>
  </si>
  <si>
    <t>Actual (for 1,500 units):</t>
  </si>
  <si>
    <t>Additional Information:</t>
  </si>
  <si>
    <t>1.  The selling price for product "Malkia" is Sh. 230 per unit.</t>
  </si>
  <si>
    <t>2.  Where necessary, use the per-unit variable costs derived from the budgeted figures.</t>
  </si>
  <si>
    <t>3.  Folico Manufaturing Limited has a sales contract to deliver 850 units of product "Malkia" every month.</t>
  </si>
  <si>
    <t>4.  Folico Manufacturing Limited sales averages 80% of the units produced in any month. This percentage is inclusive of the sales contract units.</t>
  </si>
  <si>
    <t>5.  Corporation tax rate is 30% payable on realised profit.</t>
  </si>
  <si>
    <t>(a)  Prepare a flexible budget for 1,500 units.</t>
  </si>
  <si>
    <t>(b)  Determine the total flexible budgeted costs for 1,500 units.</t>
  </si>
  <si>
    <r>
      <t>(c)  At 1,500 units, compare the flexible budgeted costs with the total actual costs. Using a logical function, identify the  variances as either</t>
    </r>
    <r>
      <rPr>
        <b/>
        <sz val="12"/>
        <rFont val="Times New Roman"/>
        <family val="1"/>
      </rPr>
      <t xml:space="preserve"> adverse </t>
    </r>
    <r>
      <rPr>
        <sz val="12"/>
        <rFont val="Times New Roman"/>
        <family val="1"/>
      </rPr>
      <t xml:space="preserve">or </t>
    </r>
    <r>
      <rPr>
        <b/>
        <sz val="12"/>
        <rFont val="Times New Roman"/>
        <family val="1"/>
      </rPr>
      <t>favourable</t>
    </r>
    <r>
      <rPr>
        <sz val="12"/>
        <rFont val="Times New Roman"/>
        <family val="1"/>
      </rPr>
      <t xml:space="preserve">. </t>
    </r>
  </si>
  <si>
    <t>(d)  Prepare an income statement for manufacturing levels of 1,000, 2,000 and 2,500 units of product Malkia.</t>
  </si>
  <si>
    <t>(8 marks)</t>
  </si>
  <si>
    <t xml:space="preserve">Actual </t>
  </si>
  <si>
    <t xml:space="preserve"> </t>
  </si>
  <si>
    <t>(a)        You are the management accountant in a manufacturing firm. Your CFO has requested you to prepare</t>
  </si>
  <si>
    <t xml:space="preserve">            the profit and loss for ProductZed for the month of February 2023 given the following data</t>
  </si>
  <si>
    <t xml:space="preserve">PRODUCT Zed </t>
  </si>
  <si>
    <t>Units Sold</t>
  </si>
  <si>
    <t>Price per Unit(sh)</t>
  </si>
  <si>
    <t>VariableCost per Unit(sh)</t>
  </si>
  <si>
    <t>Fixed Costs(sh)</t>
  </si>
  <si>
    <t>a prepare statement of profit or loss for the month of february 2023</t>
  </si>
  <si>
    <t>(b)        Based on different market dynamics your CFO would also wish to analyze the profit of the firm</t>
  </si>
  <si>
    <t xml:space="preserve">            under different level output based on the maximum production that the company can produce and sell productZed.</t>
  </si>
  <si>
    <t xml:space="preserve">            The following scenarios are provided for your analysis.</t>
  </si>
  <si>
    <t>SCENARIOS</t>
  </si>
  <si>
    <t>Production(Units)</t>
  </si>
  <si>
    <t>Scenario 4</t>
  </si>
  <si>
    <t>Scenario 5</t>
  </si>
  <si>
    <t>Scenario 6</t>
  </si>
  <si>
    <t>Prepare detail outcomes under the scenarios given above on the following:</t>
  </si>
  <si>
    <t>i)  Sales/Revenue</t>
  </si>
  <si>
    <t>ii) Total Variable Cost</t>
  </si>
  <si>
    <t>iii) Contribution</t>
  </si>
  <si>
    <t>iv) Fixed Cost</t>
  </si>
  <si>
    <t>vi) Total Cost</t>
  </si>
  <si>
    <t xml:space="preserve">            the company operations . This product is estimated to retail at a price of sh.450 per unit, with a variable sh.350 per unit</t>
  </si>
  <si>
    <t xml:space="preserve">            and a fixed cost of sh.400,000.</t>
  </si>
  <si>
    <t>(c)        There is a proposal of introducing a new product branded "Que" with the aim of diversifying</t>
  </si>
  <si>
    <t>i)  Using the above information prepare the B.E.P point chart clearly showing the B.E.P in units and in value for product Que</t>
  </si>
  <si>
    <t>ii) What level of production should the firm attain to achieve the target profit of sh.1,000,000 for product Que</t>
  </si>
  <si>
    <t>SECTION III (20 MARKS)</t>
  </si>
  <si>
    <t>Answer ONE (1) out of the THREE (3) questions in this section.</t>
  </si>
  <si>
    <t>QUESTION 23</t>
  </si>
  <si>
    <t>Delaware Limited would like to evaluate its performance for the next five years commencing from the year 2023 based on the company's revised strategy.</t>
  </si>
  <si>
    <t>The following details relate to its main product "Lottus" and estimated changes in prices and costs per annum:</t>
  </si>
  <si>
    <t>Average annual demand in units</t>
  </si>
  <si>
    <t>Selling price per unit (Sh.)</t>
  </si>
  <si>
    <t>Direct material cost per unit (Sh.)</t>
  </si>
  <si>
    <t>Direct labour cost per unit (Sh.)</t>
  </si>
  <si>
    <t>Variable production overheads per unit (Sh.)</t>
  </si>
  <si>
    <t>Fixed production overheads (Sh."000")</t>
  </si>
  <si>
    <t>Administration overheads (Sh."000")</t>
  </si>
  <si>
    <t>Variable selling and distribution cost per unit (Sh.)</t>
  </si>
  <si>
    <t>Fixed selling and distribution costs (Sh."000")</t>
  </si>
  <si>
    <t>(a)  Prepare the forecast statement of profit or loss given the current projections.</t>
  </si>
  <si>
    <t>(10 marks)</t>
  </si>
  <si>
    <t>(b)  Determine the break even levels in units and revenues for each of the next five years.</t>
  </si>
  <si>
    <t xml:space="preserve"> (5 marks)</t>
  </si>
  <si>
    <t>(c)  Using suitable graphs, present a summary of revenues, profits and breakeven revenues for each of the next five years.</t>
  </si>
  <si>
    <t xml:space="preserve">                (Total: 20 marks)</t>
  </si>
  <si>
    <t>Question Twenty Five</t>
  </si>
  <si>
    <t>Farmgate Company Limited produces and sells shovels.</t>
  </si>
  <si>
    <t>The company provides the following data for quantities of shovels produced and the related production cost for the calendar year 2021:</t>
  </si>
  <si>
    <t xml:space="preserve">Month  </t>
  </si>
  <si>
    <t>Quantity produced (units)</t>
  </si>
  <si>
    <t>Production cost</t>
  </si>
  <si>
    <t>January</t>
  </si>
  <si>
    <t xml:space="preserve">February </t>
  </si>
  <si>
    <t xml:space="preserve">March </t>
  </si>
  <si>
    <t>April</t>
  </si>
  <si>
    <t>May</t>
  </si>
  <si>
    <t>June</t>
  </si>
  <si>
    <t>July</t>
  </si>
  <si>
    <t xml:space="preserve">August </t>
  </si>
  <si>
    <t xml:space="preserve">September </t>
  </si>
  <si>
    <t>October</t>
  </si>
  <si>
    <t xml:space="preserve">November </t>
  </si>
  <si>
    <t>December</t>
  </si>
  <si>
    <t>(b)      Estimate the total production cost if the following number of units are produced:</t>
  </si>
  <si>
    <r>
      <t>(i)</t>
    </r>
    <r>
      <rPr>
        <sz val="7"/>
        <color theme="1"/>
        <rFont val="Times New Roman"/>
        <family val="1"/>
      </rPr>
      <t xml:space="preserve">                  </t>
    </r>
    <r>
      <rPr>
        <sz val="10"/>
        <color theme="1"/>
        <rFont val="Times New Roman"/>
        <family val="1"/>
      </rPr>
      <t>100,000 units</t>
    </r>
  </si>
  <si>
    <r>
      <t>(ii)</t>
    </r>
    <r>
      <rPr>
        <sz val="7"/>
        <color theme="1"/>
        <rFont val="Times New Roman"/>
        <family val="1"/>
      </rPr>
      <t xml:space="preserve">                </t>
    </r>
    <r>
      <rPr>
        <sz val="10"/>
        <color theme="1"/>
        <rFont val="Times New Roman"/>
        <family val="1"/>
      </rPr>
      <t>150,000 units</t>
    </r>
  </si>
  <si>
    <r>
      <t>(iii)</t>
    </r>
    <r>
      <rPr>
        <sz val="7"/>
        <color theme="1"/>
        <rFont val="Times New Roman"/>
        <family val="1"/>
      </rPr>
      <t xml:space="preserve">              </t>
    </r>
    <r>
      <rPr>
        <sz val="10"/>
        <color theme="1"/>
        <rFont val="Times New Roman"/>
        <family val="1"/>
      </rPr>
      <t>200,000 units</t>
    </r>
  </si>
  <si>
    <t xml:space="preserve">            Include the lower and upper boundaries at 95% confidence intervals.</t>
  </si>
  <si>
    <t xml:space="preserve">(c)       Prepare a chart plotting the predicted Y versus the actual Y from the regression function determined in (a) above. </t>
  </si>
  <si>
    <t xml:space="preserve">            Interpret your answer. </t>
  </si>
  <si>
    <t>(Total 20 marks)</t>
  </si>
  <si>
    <t>You work as the management accountant for Majani Limited which deals in tea production and export.</t>
  </si>
  <si>
    <t>Before embarking on next year’s budgeting, you are tasked with analysing past revenue and price trends.</t>
  </si>
  <si>
    <t>As a starting point, your supervisor has provided you with historical price and production data as shown in the</t>
  </si>
  <si>
    <t xml:space="preserve"> worksheet mgt.xls.   </t>
  </si>
  <si>
    <t>(a)     Plot a line graph for price against time/dates. Insert a linear trend line displaying the equation and R-squared</t>
  </si>
  <si>
    <t>(14 marks)</t>
  </si>
  <si>
    <t xml:space="preserve">         on the chart. Briefly discuss your results. </t>
  </si>
  <si>
    <t>(b)     Using a suitable MS Excel function, show that the coefficients shown in the trendline in (a) above are in</t>
  </si>
  <si>
    <t xml:space="preserve">         fact a result of a linear estimation between the historical prices and time.  </t>
  </si>
  <si>
    <t xml:space="preserve">(c)    You know that prices are affected by production. Because of this, you would like to run a regression between </t>
  </si>
  <si>
    <t xml:space="preserve">         price, production and time. Use data analysis ToolPack to run regression analysis. Interpret your results.</t>
  </si>
  <si>
    <t xml:space="preserve">         Be sure to discuss the coefficients and parameters. </t>
  </si>
  <si>
    <t xml:space="preserve">Answer ONE (1) question out of the THREE (3) questions in this section. </t>
  </si>
  <si>
    <t xml:space="preserve">Freshian Limited manufactures and sells fresh juice. </t>
  </si>
  <si>
    <t>The company has provided the following data for the year 2022:</t>
  </si>
  <si>
    <t>Quantities Produced</t>
  </si>
  <si>
    <t>(a)       Generate the regression output from MS Excel with the following information:</t>
  </si>
  <si>
    <t xml:space="preserve">           (i)         Regression Statistics. </t>
  </si>
  <si>
    <t xml:space="preserve">           (ii)        Analysis of Variance (ANOVA). </t>
  </si>
  <si>
    <t xml:space="preserve">           (iii)       Intercept and slope coefficients with their details including lower and upper bounds at 95% confidence level. </t>
  </si>
  <si>
    <t xml:space="preserve">                   </t>
  </si>
  <si>
    <t xml:space="preserve">(b)        Prepare a schedule showing the quantities, actual cost and predicted costs given the above quantities. </t>
  </si>
  <si>
    <t xml:space="preserve">            Include the lower and upper boundaries at 95% confidence interval.</t>
  </si>
  <si>
    <t xml:space="preserve"> (6 marks)</t>
  </si>
  <si>
    <t xml:space="preserve">(c)        Prepare a chart for the information in part (b). </t>
  </si>
  <si>
    <t>CA35P page 8</t>
  </si>
  <si>
    <t>Production Costs Sh."000"</t>
  </si>
  <si>
    <t>Months</t>
  </si>
  <si>
    <t xml:space="preserve">Sunrise Limited manufactures office cabinets for both local and export markets. </t>
  </si>
  <si>
    <t>The following data relates to the cost of production of an office cabinet:</t>
  </si>
  <si>
    <t xml:space="preserve">        Sh.</t>
  </si>
  <si>
    <t>Variable cost per unit</t>
  </si>
  <si>
    <t>Total fixed costs</t>
  </si>
  <si>
    <t xml:space="preserve">(a)     In batches of 1,000 units, determine the breakeven point in units using a graph. </t>
  </si>
  <si>
    <t xml:space="preserve">         Indicate the profit zone and loss  zone in your graph. </t>
  </si>
  <si>
    <t>(b)     The management of Sunrise Limited is evaluating various production and sales levels to determine the profit after tax.</t>
  </si>
  <si>
    <t xml:space="preserve">         Assuming a tax rate of 30%, plot a graph depicting revenue and profit after tax. </t>
  </si>
  <si>
    <t xml:space="preserve">(c)    The management of the company is evaluating the effect of selling at various percentages above the break-even point. Beginning </t>
  </si>
  <si>
    <t xml:space="preserve">         from 0% and in batches of 5% change point up to 50%, plot a graph depicting target revenue, target profit</t>
  </si>
  <si>
    <t xml:space="preserve">         after tax and margin of safety. </t>
  </si>
  <si>
    <t xml:space="preserve">Trans Ltd. has provided the following operating statement, which represents an attempt to compare the actual </t>
  </si>
  <si>
    <t>performance for the quarter which has just ended with the budget:</t>
  </si>
  <si>
    <t xml:space="preserve">Budget </t>
  </si>
  <si>
    <t xml:space="preserve">Variance </t>
  </si>
  <si>
    <t>Number of units sold</t>
  </si>
  <si>
    <t>SHS.</t>
  </si>
  <si>
    <t xml:space="preserve">Sales </t>
  </si>
  <si>
    <t xml:space="preserve">Cost of sales: </t>
  </si>
  <si>
    <t xml:space="preserve">Direct materials </t>
  </si>
  <si>
    <t xml:space="preserve">Direct labour </t>
  </si>
  <si>
    <t xml:space="preserve">Overheads </t>
  </si>
  <si>
    <t xml:space="preserve">Fixed labour cost </t>
  </si>
  <si>
    <t xml:space="preserve">Selling and distribution costs: </t>
  </si>
  <si>
    <t xml:space="preserve">Fixed </t>
  </si>
  <si>
    <t xml:space="preserve">Variable </t>
  </si>
  <si>
    <t xml:space="preserve">Administrative costs: </t>
  </si>
  <si>
    <t xml:space="preserve">Variables </t>
  </si>
  <si>
    <t xml:space="preserve">Required: </t>
  </si>
  <si>
    <t>(i) Using flexible budgeting approach, redraft the operating statements so as to provide a more realistic indication of the variances.</t>
  </si>
  <si>
    <t xml:space="preserve">Elimu Busara Foundation runs a group of secondary schools in  the country. Among their schools is Masomo Bora High School. The schools are </t>
  </si>
  <si>
    <t>funded by school fees and partially sponsored by capitation from the government and donations from alumni and well-wishers.</t>
  </si>
  <si>
    <t xml:space="preserve">Masomo Bora High School is preparing the budget for the year 2025, with the three terms commencing January, May and September. </t>
  </si>
  <si>
    <t xml:space="preserve">The following details relate to the budget preparation: </t>
  </si>
  <si>
    <t xml:space="preserve">1.      The school estimates it will have 120 students in form one, 110 students in form two, and 100 students in form three and 100 students in form four. </t>
  </si>
  <si>
    <t xml:space="preserve">         The form ones will report in February 2025.</t>
  </si>
  <si>
    <t xml:space="preserve">         The following is the fee structure that is payable by the parents per term:</t>
  </si>
  <si>
    <t xml:space="preserve">         Form 1 - Sh.33,500</t>
  </si>
  <si>
    <t xml:space="preserve">         Form 2 - Sh.36,500</t>
  </si>
  <si>
    <t xml:space="preserve">         Form 3 - Sh.43,500</t>
  </si>
  <si>
    <t xml:space="preserve">         Form 4 - Sh.45,000</t>
  </si>
  <si>
    <t xml:space="preserve">2.      Parents are usually required to pay 60% of the fee when the school opens, and the balance at the beginning of the next month (Form ones pay 60% </t>
  </si>
  <si>
    <t xml:space="preserve">when they report in February  and 40% in March). </t>
  </si>
  <si>
    <t xml:space="preserve">        </t>
  </si>
  <si>
    <t xml:space="preserve">3.      The school receives a capitation of Sh.16,000 per student per term, which is received at the beginning of the term. </t>
  </si>
  <si>
    <t xml:space="preserve">4.      On average, the school receives donations of Sh.2.5 million per month but this reduces to 60%  when the school is closed. </t>
  </si>
  <si>
    <t xml:space="preserve">5.      The school has a small farm from which it generates harvested produce. It is estimated that the produce generates Sh.200,000 per month. </t>
  </si>
  <si>
    <t xml:space="preserve">6.      In addition, the school hires out the bus every weekend for events earning Sh.60,000 per month except in December when the bus driver is on leave. </t>
  </si>
  <si>
    <t xml:space="preserve">7.      The school pays on average salaries and wages of Sh.6.2 million per month, even when students have closed. </t>
  </si>
  <si>
    <t xml:space="preserve">8.      The school spends on average Sh.550,000 on general consumables, which reduce to 60% when the school is closed. </t>
  </si>
  <si>
    <t xml:space="preserve">9.      The school buys new text books and also replaces old ones at the beginning of every term for Sh.650,000. </t>
  </si>
  <si>
    <t xml:space="preserve">10.    The school provides meals to staff and students at an average cost of Sh.1.5 million per month. This is catered for in the school fees and capitation. </t>
  </si>
  <si>
    <t xml:space="preserve">The amount reduces to 40%  when the school is closed. </t>
  </si>
  <si>
    <t xml:space="preserve">11.     Electricity and water bills average Sh.150,000 per month (and Sh.50,000 when the school is closed). Repairs and maintenance also amount to </t>
  </si>
  <si>
    <t xml:space="preserve">Sh.250,000 per month and reduces to 40% when the school is closed. </t>
  </si>
  <si>
    <t xml:space="preserve">         </t>
  </si>
  <si>
    <t>12.    The school plans to buy additional learning and staff equipment worth Sh. 1.5 million in January and replace old furniture at a cost of Sh.2 million</t>
  </si>
  <si>
    <t xml:space="preserve">in May. The old furniture will be  scrapped at Sh.200,000. </t>
  </si>
  <si>
    <t xml:space="preserve">13.    The school has a loan, for which it will pay the annual installment of Sh.2 million and interest of Sh.200,000 in December. </t>
  </si>
  <si>
    <t>14.    The School estimates that it will have cash balance of Sh.5.5 million on 1st January 2025.</t>
  </si>
  <si>
    <t xml:space="preserve">Prepare a cash budget for the year ended 31 December 2025, on a month-by-month basis and also for the whole year. </t>
  </si>
  <si>
    <t>FMDA AUGUST 2024 Q21 b</t>
  </si>
  <si>
    <t>SECTION II  (60 MARKS)</t>
  </si>
  <si>
    <t>Section II comprises  Question 21 and Question 22. Answer BOTH questions.</t>
  </si>
  <si>
    <t>QUESTION 21:</t>
  </si>
  <si>
    <t>(b)</t>
  </si>
  <si>
    <t>Plus Ltd. recently introduced a new electronic device that has excellent market acceptance.</t>
  </si>
  <si>
    <t xml:space="preserve"> Plus Ltd.'s management estimates sales for the next six months ending 28 February 2025 and the minimum monthly </t>
  </si>
  <si>
    <t>cash balance that the firm's treasurer aim to maintain are provided below:</t>
  </si>
  <si>
    <t>Month</t>
  </si>
  <si>
    <t>Sales (Sh.)</t>
  </si>
  <si>
    <t>Minimum cash balance (Sh.)</t>
  </si>
  <si>
    <t>September</t>
  </si>
  <si>
    <t>November</t>
  </si>
  <si>
    <t>February</t>
  </si>
  <si>
    <r>
      <t>·</t>
    </r>
    <r>
      <rPr>
        <sz val="12"/>
        <color theme="1"/>
        <rFont val="Times New Roman"/>
        <family val="1"/>
      </rPr>
      <t>   The current cash balance at 1 September 2024 is Sh.15 million. Plus Ltd.'s treasurer forecasts a need for additional funds to finance sales expansion.</t>
    </r>
  </si>
  <si>
    <r>
      <rPr>
        <sz val="11"/>
        <color rgb="FFFF0000"/>
        <rFont val="Calibri"/>
        <family val="2"/>
        <scheme val="minor"/>
      </rPr>
      <t>·</t>
    </r>
    <r>
      <rPr>
        <sz val="12"/>
        <color rgb="FFFF0000"/>
        <rFont val="Times New Roman"/>
        <family val="1"/>
      </rPr>
      <t>   The treasurer expects that a new equipment valued at Sh.20 million will be purchased in October 2024 by giving a note payable to the seller.</t>
    </r>
    <r>
      <rPr>
        <sz val="12"/>
        <color theme="1"/>
        <rFont val="Times New Roman"/>
        <family val="1"/>
      </rPr>
      <t xml:space="preserve"> The note</t>
    </r>
  </si>
  <si>
    <t xml:space="preserve">     will be repaid beginning in October 2024 at the rate of Sh.1 million per month. The new equipment is not planned to be operational until April of 2025.</t>
  </si>
  <si>
    <r>
      <t>·</t>
    </r>
    <r>
      <rPr>
        <sz val="12"/>
        <color theme="1"/>
        <rFont val="Times New Roman"/>
        <family val="1"/>
      </rPr>
      <t>   The treasurer plans several further steps to fund these financing requirements as follows:</t>
    </r>
  </si>
  <si>
    <t xml:space="preserve">     1.    She obtains a financing commitment from an insurance company to acquire Sh.110 million of Plus Ltd.'s long-term bonds (less Sh.2.5 million</t>
  </si>
  <si>
    <t xml:space="preserve">            issue costs). These bond sales are planned for December 2024 (Sh.50 million) and January 2025 (Sh.60 million).</t>
  </si>
  <si>
    <t xml:space="preserve">     2.    She plans to sell real estate for additional financing, including Sh.8 million in January 2025 and Sh.50 million in February 2025 and will sell </t>
  </si>
  <si>
    <t xml:space="preserve">            equipment originally costing Sh.25 million with a book value of zero) for Sh.25 million in February 2025.</t>
  </si>
  <si>
    <r>
      <t>·</t>
    </r>
    <r>
      <rPr>
        <sz val="12"/>
        <color theme="1"/>
        <rFont val="Times New Roman"/>
        <family val="1"/>
      </rPr>
      <t>   The treasurer estimates the pattern of receivables collection as follows:</t>
    </r>
  </si>
  <si>
    <t xml:space="preserve">     Collections</t>
  </si>
  <si>
    <t>Percentage of total receivables</t>
  </si>
  <si>
    <t xml:space="preserve">     In month of sale</t>
  </si>
  <si>
    <t xml:space="preserve">     In second month</t>
  </si>
  <si>
    <t xml:space="preserve">     In third month</t>
  </si>
  <si>
    <t xml:space="preserve">     In fourth month</t>
  </si>
  <si>
    <t xml:space="preserve">     Written off as bad debts</t>
  </si>
  <si>
    <r>
      <t>·</t>
    </r>
    <r>
      <rPr>
        <sz val="12"/>
        <color theme="1"/>
        <rFont val="Times New Roman"/>
        <family val="1"/>
      </rPr>
      <t>   The monthly expenses estimates are shown below:</t>
    </r>
  </si>
  <si>
    <t xml:space="preserve">     Materials</t>
  </si>
  <si>
    <t>30% of sales</t>
  </si>
  <si>
    <t xml:space="preserve">     Labour</t>
  </si>
  <si>
    <t>25% of sales</t>
  </si>
  <si>
    <t xml:space="preserve">     Manufacturing overheads </t>
  </si>
  <si>
    <t xml:space="preserve">     Variable </t>
  </si>
  <si>
    <t>10% of sales</t>
  </si>
  <si>
    <t xml:space="preserve">     Fixed</t>
  </si>
  <si>
    <t>Sh.8 million per month (Includes Sh.1 million depreciation per month)</t>
  </si>
  <si>
    <t xml:space="preserve">     Selling expenses</t>
  </si>
  <si>
    <t xml:space="preserve">     General and administrative expenses</t>
  </si>
  <si>
    <t>8% of sales</t>
  </si>
  <si>
    <t xml:space="preserve">     Fixed </t>
  </si>
  <si>
    <t>Sh.7 million per month</t>
  </si>
  <si>
    <t xml:space="preserve">     The company pays off these expenses (excluding the Sh.1 million monthly depreciation) when incurred.</t>
  </si>
  <si>
    <t xml:space="preserve">     The only exception is for purchases of materials where 50% is paid in the month of purchase and 50% in the following month.</t>
  </si>
  <si>
    <r>
      <rPr>
        <sz val="12"/>
        <color theme="1"/>
        <rFont val="Symbol"/>
        <family val="1"/>
        <charset val="2"/>
      </rPr>
      <t xml:space="preserve">·  </t>
    </r>
    <r>
      <rPr>
        <sz val="12"/>
        <color theme="1"/>
        <rFont val="Times New Roman"/>
        <family val="1"/>
      </rPr>
      <t xml:space="preserve"> Materials inventory on 1 September 2024 is Sh.57 million. The treasurer estimates materials inventory for the end of each month from September 2024</t>
    </r>
  </si>
  <si>
    <t xml:space="preserve">     to February 2025 as follows:</t>
  </si>
  <si>
    <t xml:space="preserve">    September</t>
  </si>
  <si>
    <t xml:space="preserve">    October</t>
  </si>
  <si>
    <t xml:space="preserve">    November</t>
  </si>
  <si>
    <t xml:space="preserve">    December</t>
  </si>
  <si>
    <t xml:space="preserve">    January</t>
  </si>
  <si>
    <t xml:space="preserve">    February</t>
  </si>
  <si>
    <r>
      <rPr>
        <sz val="12"/>
        <color theme="1"/>
        <rFont val="Symbol"/>
        <family val="1"/>
        <charset val="2"/>
      </rPr>
      <t>·</t>
    </r>
    <r>
      <rPr>
        <sz val="12"/>
        <color theme="1"/>
        <rFont val="Times New Roman"/>
        <family val="1"/>
      </rPr>
      <t xml:space="preserve">  Any borrowing undertaken is rounded up to the next million. Interest is paid when the principal is repaid equal to a rate of 6% per year. The interest</t>
    </r>
  </si>
  <si>
    <t xml:space="preserve">    amount in the first month when the principal is repaid is Sh.1,920,000.</t>
  </si>
  <si>
    <r>
      <rPr>
        <sz val="12"/>
        <color theme="1"/>
        <rFont val="Symbol"/>
        <family val="1"/>
        <charset val="2"/>
      </rPr>
      <t>·</t>
    </r>
    <r>
      <rPr>
        <sz val="12"/>
        <color theme="1"/>
        <rFont val="Times New Roman"/>
        <family val="1"/>
      </rPr>
      <t xml:space="preserve">  Taxes of Sh.19 million are paid in February 2025.</t>
    </r>
  </si>
  <si>
    <t>Prepare a cash forecast analysis for the six-month period ended 28 February 2025.</t>
  </si>
  <si>
    <t xml:space="preserve">  (Total: 30 marks)</t>
  </si>
  <si>
    <t>August</t>
  </si>
  <si>
    <t xml:space="preserve">Apollo Limited manufactures fresh juice for both local and export markets. </t>
  </si>
  <si>
    <t>The company has provided the following data for the year 2024:</t>
  </si>
  <si>
    <t>Production Costs</t>
  </si>
  <si>
    <t xml:space="preserve">(a)        Generate the descriptive statistics for quantities and production costs.               </t>
  </si>
  <si>
    <t xml:space="preserve">(b)        Generate the regression output and estimate the cost of producing 900,000 units at the 95% confindence level.   </t>
  </si>
  <si>
    <t xml:space="preserve">(c)        If the selling price is Sh.250 per unit, determine by graphical method, the breakeven point. </t>
  </si>
  <si>
    <t xml:space="preserve">Regression </t>
  </si>
  <si>
    <t>High-low method</t>
  </si>
  <si>
    <r>
      <t>Y=a+bx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+cx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+dx</t>
    </r>
    <r>
      <rPr>
        <vertAlign val="subscript"/>
        <sz val="11"/>
        <color theme="1"/>
        <rFont val="Calibri"/>
        <family val="2"/>
        <scheme val="minor"/>
      </rPr>
      <t>3</t>
    </r>
  </si>
  <si>
    <t>Y=a+bx</t>
  </si>
  <si>
    <t>TC=TFC+TVC</t>
  </si>
  <si>
    <t>Y</t>
  </si>
  <si>
    <t>a  Total fixed cost/y-intercept x=0</t>
  </si>
  <si>
    <t>b Variable cost per unit/slope/gradient of the curve</t>
  </si>
  <si>
    <t>b=change in y/change in x</t>
  </si>
  <si>
    <t>x= independent variable/cost driver/activity level</t>
  </si>
  <si>
    <t>COST ESTIMATION</t>
  </si>
  <si>
    <t>High-Low method</t>
  </si>
  <si>
    <t>coordinates(x,y)</t>
  </si>
  <si>
    <t>units produced</t>
  </si>
  <si>
    <t>Y   Dependent variable /Total cost</t>
  </si>
  <si>
    <t>X</t>
  </si>
  <si>
    <t>H[33  ,  380]</t>
  </si>
  <si>
    <t>W1</t>
  </si>
  <si>
    <t>W2</t>
  </si>
  <si>
    <t>W3</t>
  </si>
  <si>
    <t>W4</t>
  </si>
  <si>
    <t>W5</t>
  </si>
  <si>
    <t>W6</t>
  </si>
  <si>
    <t>L[14  ,140]</t>
  </si>
  <si>
    <t>a</t>
  </si>
  <si>
    <t>b</t>
  </si>
  <si>
    <t>140=a+12.6316*14</t>
  </si>
  <si>
    <t>a=140-(12.6316*14)</t>
  </si>
  <si>
    <t>Y=-36.8421+12.6316x</t>
  </si>
  <si>
    <t>REGRESSION</t>
  </si>
  <si>
    <t>Ʃ</t>
  </si>
  <si>
    <t>=[nƩxy-Ʃx*Ʃy]</t>
  </si>
  <si>
    <t>=[Ʃy- bƩx]</t>
  </si>
  <si>
    <t xml:space="preserve">       n</t>
  </si>
  <si>
    <r>
      <t xml:space="preserve">     nƩx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-(Ʃx)</t>
    </r>
    <r>
      <rPr>
        <vertAlign val="superscript"/>
        <sz val="11"/>
        <color theme="1"/>
        <rFont val="Calibri"/>
        <family val="2"/>
        <scheme val="minor"/>
      </rPr>
      <t>2</t>
    </r>
  </si>
  <si>
    <r>
      <t>x</t>
    </r>
    <r>
      <rPr>
        <vertAlign val="superscript"/>
        <sz val="11"/>
        <color theme="1"/>
        <rFont val="Calibri"/>
        <family val="2"/>
        <scheme val="minor"/>
      </rPr>
      <t>2</t>
    </r>
  </si>
  <si>
    <t>xy</t>
  </si>
  <si>
    <t>SLOPE(b)</t>
  </si>
  <si>
    <t>INTERCEPT(a)</t>
  </si>
  <si>
    <r>
      <t>COEFFICIENT OF DETERMINATION(R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</si>
  <si>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 xml:space="preserve">CORRELATION COEFFICIENT (  R) </t>
  </si>
  <si>
    <t>production cost</t>
  </si>
  <si>
    <t>Y=-21.47+14.01x</t>
  </si>
  <si>
    <t>confidence level</t>
  </si>
  <si>
    <t>defult confidence level</t>
  </si>
  <si>
    <t>statistical summary</t>
  </si>
  <si>
    <t>ANOVA</t>
  </si>
  <si>
    <t>intercept summary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</si>
  <si>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</si>
  <si>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</si>
  <si>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</si>
  <si>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</si>
  <si>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</si>
  <si>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</si>
  <si>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</si>
  <si>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Regression</t>
  </si>
  <si>
    <t>Residual</t>
  </si>
  <si>
    <t>Total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</si>
  <si>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</si>
  <si>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</si>
  <si>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</si>
  <si>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</si>
  <si>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</si>
  <si>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</si>
  <si>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</si>
  <si>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</si>
  <si>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</si>
  <si>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</si>
  <si>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85.0%</t>
  </si>
  <si>
    <t>Upper 85.0%</t>
  </si>
  <si>
    <t>Lower 95.0%</t>
  </si>
  <si>
    <t>Upper 95.0%</t>
  </si>
  <si>
    <t>(a)      Determine the variable cost per unit and the total fixed costs using regression analysis. (6 marks)</t>
  </si>
  <si>
    <t>Mean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</si>
  <si>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</si>
  <si>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</si>
  <si>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</si>
  <si>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</si>
  <si>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</si>
  <si>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</si>
  <si>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</si>
  <si>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</si>
  <si>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</si>
  <si>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</si>
  <si>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</si>
  <si>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Largest(1)</t>
  </si>
  <si>
    <t>Smallest(1)</t>
  </si>
  <si>
    <r>
      <t>R</t>
    </r>
    <r>
      <rPr>
        <vertAlign val="superscript"/>
        <sz val="11"/>
        <color theme="1"/>
        <rFont val="Calibri"/>
        <family val="2"/>
        <scheme val="minor"/>
      </rPr>
      <t>2</t>
    </r>
  </si>
  <si>
    <t>r</t>
  </si>
  <si>
    <t xml:space="preserve"> strong positive correlation</t>
  </si>
  <si>
    <t>Explained variables</t>
  </si>
  <si>
    <t>Unxplained variables</t>
  </si>
  <si>
    <t xml:space="preserve">Base </t>
  </si>
  <si>
    <t>Base  (Coefficients)</t>
  </si>
  <si>
    <t>Units(x)</t>
  </si>
  <si>
    <t>Lower 90.0%</t>
  </si>
  <si>
    <t>Upper 90.0%</t>
  </si>
  <si>
    <t>BASE</t>
  </si>
  <si>
    <t>Actual Production cost</t>
  </si>
  <si>
    <t>Predicted Production cost</t>
  </si>
  <si>
    <r>
      <t>R</t>
    </r>
    <r>
      <rPr>
        <vertAlign val="superscript"/>
        <sz val="12"/>
        <color theme="1"/>
        <rFont val="Times New Roman"/>
        <family val="1"/>
      </rPr>
      <t>2</t>
    </r>
  </si>
  <si>
    <t>R</t>
  </si>
  <si>
    <t>EXPLAINED</t>
  </si>
  <si>
    <t>UNEXPLAINED</t>
  </si>
  <si>
    <t>DEPENDENT</t>
  </si>
  <si>
    <t>INDEPENDET VARIABLE</t>
  </si>
  <si>
    <t>Price per kg(Y)</t>
  </si>
  <si>
    <t>Production (million) Kgs(X1)</t>
  </si>
  <si>
    <t>Date(X2)</t>
  </si>
  <si>
    <r>
      <t>Y=a+bx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+cx</t>
    </r>
    <r>
      <rPr>
        <vertAlign val="subscript"/>
        <sz val="11"/>
        <color theme="1"/>
        <rFont val="Calibri"/>
        <family val="2"/>
        <scheme val="minor"/>
      </rPr>
      <t>2</t>
    </r>
  </si>
  <si>
    <r>
      <t>y=-1006.43-0.741x</t>
    </r>
    <r>
      <rPr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+0.0305x</t>
    </r>
    <r>
      <rPr>
        <vertAlign val="subscript"/>
        <sz val="12"/>
        <color theme="1"/>
        <rFont val="Times New Roman"/>
        <family val="1"/>
      </rPr>
      <t>2</t>
    </r>
  </si>
  <si>
    <t>c</t>
  </si>
  <si>
    <t>variable cost</t>
  </si>
  <si>
    <t>Budgeted Units</t>
  </si>
  <si>
    <t>Fixed cost</t>
  </si>
  <si>
    <t>Selling price</t>
  </si>
  <si>
    <t>classification based on variability</t>
  </si>
  <si>
    <t>variable costs</t>
  </si>
  <si>
    <t>Fixed costs</t>
  </si>
  <si>
    <t>BEP/CVP ANALYSIS</t>
  </si>
  <si>
    <t xml:space="preserve">   *prime cost</t>
  </si>
  <si>
    <t xml:space="preserve">           -direct material</t>
  </si>
  <si>
    <t xml:space="preserve">           - direct labour</t>
  </si>
  <si>
    <t xml:space="preserve">           - direct production cost</t>
  </si>
  <si>
    <t xml:space="preserve"> * variable production overheads</t>
  </si>
  <si>
    <t># variable production costs</t>
  </si>
  <si>
    <t># variable non-production costs</t>
  </si>
  <si>
    <t xml:space="preserve">  *variable selling and distribution costs</t>
  </si>
  <si>
    <t xml:space="preserve">  *variable Administration costs</t>
  </si>
  <si>
    <t># fixed production costs</t>
  </si>
  <si>
    <t># fixed non-production costs</t>
  </si>
  <si>
    <t>Revenue</t>
  </si>
  <si>
    <t>Variable costs</t>
  </si>
  <si>
    <t>Net contribution</t>
  </si>
  <si>
    <t>BEP in units</t>
  </si>
  <si>
    <t>TOTAL FIXED COST+TARGET PROFIT</t>
  </si>
  <si>
    <t xml:space="preserve">           [S-V]/CM</t>
  </si>
  <si>
    <t>Target profit</t>
  </si>
  <si>
    <t>TFC</t>
  </si>
  <si>
    <t>Bep units</t>
  </si>
  <si>
    <t>BEP in shillings</t>
  </si>
  <si>
    <t>BEP in units*selling price</t>
  </si>
  <si>
    <t xml:space="preserve">           [(S-V)/S]/CMR</t>
  </si>
  <si>
    <t>[S-V]/CM</t>
  </si>
  <si>
    <t>[S-V]/S   / CMR</t>
  </si>
  <si>
    <t>SELLING PRICE</t>
  </si>
  <si>
    <t>S-V   / CM</t>
  </si>
  <si>
    <t>Net profit</t>
  </si>
  <si>
    <t>= Expected sales-Bep</t>
  </si>
  <si>
    <t>Margin of safety(MOS)</t>
  </si>
  <si>
    <t>MOS in units</t>
  </si>
  <si>
    <t>MOS shillings</t>
  </si>
  <si>
    <t>BEP GRAPH</t>
  </si>
  <si>
    <t>LOSS REGION</t>
  </si>
  <si>
    <t>PROFIT REGION</t>
  </si>
  <si>
    <t>BEP on the chart</t>
  </si>
  <si>
    <t>MOS</t>
  </si>
  <si>
    <t>UNITS</t>
  </si>
  <si>
    <t>TC</t>
  </si>
  <si>
    <t>TR</t>
  </si>
  <si>
    <t>PROFIT OR LOSS STATEMENT</t>
  </si>
  <si>
    <t>Direct material cost</t>
  </si>
  <si>
    <t xml:space="preserve">Direct labour cost </t>
  </si>
  <si>
    <t>Variable production overheads</t>
  </si>
  <si>
    <t>Gross Contribution</t>
  </si>
  <si>
    <t xml:space="preserve">Variable selling and distribution cost </t>
  </si>
  <si>
    <t>Net Contribution</t>
  </si>
  <si>
    <t>Fixed expenses</t>
  </si>
  <si>
    <t>Fixed production overheads</t>
  </si>
  <si>
    <t xml:space="preserve">Administration overheads </t>
  </si>
  <si>
    <t>Fixed selling and distribution costs</t>
  </si>
  <si>
    <t>Total fixed cost</t>
  </si>
  <si>
    <t>Net profit/Loss</t>
  </si>
  <si>
    <t>Net contribution per unit</t>
  </si>
  <si>
    <t>Units demanded</t>
  </si>
  <si>
    <t>CMR=CM/S</t>
  </si>
  <si>
    <t>CMR=Net contribution/Revenue</t>
  </si>
  <si>
    <t xml:space="preserve">   S-V  / CM</t>
  </si>
  <si>
    <t>BEP in units   TFC/CM  OR TFC/S-V</t>
  </si>
  <si>
    <t>BEP shillings  TFC/CMR OR TFC/  CM/R</t>
  </si>
  <si>
    <t>Detail</t>
  </si>
  <si>
    <t>units</t>
  </si>
  <si>
    <t>TC=TVC+TFC</t>
  </si>
  <si>
    <t>TVC=variable cost per unit* units</t>
  </si>
  <si>
    <t>TR=selling price per unit * units sold</t>
  </si>
  <si>
    <t>Budgeted qty</t>
  </si>
  <si>
    <t>Budgeted revenue</t>
  </si>
  <si>
    <t>Tax rate</t>
  </si>
  <si>
    <t>Units</t>
  </si>
  <si>
    <t>PAT</t>
  </si>
  <si>
    <t>Units above the BEP</t>
  </si>
  <si>
    <t>BEP=TFC/[S-V]</t>
  </si>
  <si>
    <t>Expected sales</t>
  </si>
  <si>
    <t>Target reveune</t>
  </si>
  <si>
    <t>Expected sales shs</t>
  </si>
  <si>
    <t>Expected sales Above the BEP</t>
  </si>
  <si>
    <t>MOS=expected sales-BEP</t>
  </si>
  <si>
    <t>BEP shilling =bep in units* selling price per unit</t>
  </si>
  <si>
    <t xml:space="preserve">Tax rate </t>
  </si>
  <si>
    <t>Target profit after tax</t>
  </si>
  <si>
    <t>TVC</t>
  </si>
  <si>
    <t>Target Total cost</t>
  </si>
  <si>
    <t>Flexed Budget</t>
  </si>
  <si>
    <t>Flexing ratio=Actual units/Budgeted units</t>
  </si>
  <si>
    <t>FR</t>
  </si>
  <si>
    <t>FR*original budget</t>
  </si>
  <si>
    <t>Original budget</t>
  </si>
  <si>
    <t>Flexing ratio</t>
  </si>
  <si>
    <t>Gross profit</t>
  </si>
  <si>
    <t>Variances</t>
  </si>
  <si>
    <t>RECONCILIATIONS STATEMENT</t>
  </si>
  <si>
    <t>Budgeted net profit/ loss</t>
  </si>
  <si>
    <t>Adjustment for variances</t>
  </si>
  <si>
    <t>Net variances</t>
  </si>
  <si>
    <t>Actual net profit or loss</t>
  </si>
  <si>
    <t>Actual</t>
  </si>
  <si>
    <t>Marginal cost per unit</t>
  </si>
  <si>
    <t>Full cost per unit</t>
  </si>
  <si>
    <t>details</t>
  </si>
  <si>
    <t>Units produced</t>
  </si>
  <si>
    <t>Sales</t>
  </si>
  <si>
    <t>Sales 80%</t>
  </si>
  <si>
    <t>Closing stock</t>
  </si>
  <si>
    <t>NOTE THAT CLOSING STOCK WILL BE VALUED AT THE BUDGETED COST</t>
  </si>
  <si>
    <t>selling price per unit</t>
  </si>
  <si>
    <t>cost of sales</t>
  </si>
  <si>
    <t>opening stock</t>
  </si>
  <si>
    <t>Add production</t>
  </si>
  <si>
    <t>Less closing stock</t>
  </si>
  <si>
    <t>USING MARGINAL COSTING</t>
  </si>
  <si>
    <t>Gross contribution</t>
  </si>
  <si>
    <t>less fixed expenses</t>
  </si>
  <si>
    <t>PBT</t>
  </si>
  <si>
    <t>tax</t>
  </si>
  <si>
    <t>USING ABSORPTION COSTING</t>
  </si>
  <si>
    <t>Unadjusted Gross profit</t>
  </si>
  <si>
    <t>Actual/Budgeted Fixed production cost</t>
  </si>
  <si>
    <t>Overheads Absorbed</t>
  </si>
  <si>
    <t>Less/Add Over/Under  absorption</t>
  </si>
  <si>
    <t>Adjusted gross profit</t>
  </si>
  <si>
    <t>Tax Expense</t>
  </si>
  <si>
    <t>USING ABSORPTION/FULL COSTING</t>
  </si>
  <si>
    <t>Opening stock</t>
  </si>
  <si>
    <t>Actual/Budgeted fixed production overheads</t>
  </si>
  <si>
    <t>Fixed production overheads absorbed(OAR*units produced)</t>
  </si>
  <si>
    <t>Over/Under absorption</t>
  </si>
  <si>
    <t>Tax expense</t>
  </si>
  <si>
    <t>RECONCILIATION STATEMENT</t>
  </si>
  <si>
    <t>PBT as per marginal costing</t>
  </si>
  <si>
    <t>-Under statement of opening stock</t>
  </si>
  <si>
    <t>+Under statement of closing stock</t>
  </si>
  <si>
    <t>PBT as per Absorption costing</t>
  </si>
  <si>
    <t>CASH BUDGET</t>
  </si>
  <si>
    <t>Details</t>
  </si>
  <si>
    <t>March</t>
  </si>
  <si>
    <t>RECEIPTS</t>
  </si>
  <si>
    <t>PAYMENTS</t>
  </si>
  <si>
    <t>Students</t>
  </si>
  <si>
    <t>fee per student</t>
  </si>
  <si>
    <t>term one</t>
  </si>
  <si>
    <t>term 2</t>
  </si>
  <si>
    <t>Term 3</t>
  </si>
  <si>
    <t>TERM ONE</t>
  </si>
  <si>
    <t>TERM TWO</t>
  </si>
  <si>
    <t>TERM THREE</t>
  </si>
  <si>
    <t>Tuition fees collected</t>
  </si>
  <si>
    <t>Capitation</t>
  </si>
  <si>
    <t>Donations</t>
  </si>
  <si>
    <t>Farm produce</t>
  </si>
  <si>
    <t>Bus fees</t>
  </si>
  <si>
    <t>Salaries</t>
  </si>
  <si>
    <t>General consumables</t>
  </si>
  <si>
    <t>New text books</t>
  </si>
  <si>
    <t>Meals to staff and students</t>
  </si>
  <si>
    <t>Electricity and water bills</t>
  </si>
  <si>
    <t>Repairs and maintenace</t>
  </si>
  <si>
    <t>Learning and staff equipments</t>
  </si>
  <si>
    <t>Replacement cost</t>
  </si>
  <si>
    <t>Proceeds on disposal</t>
  </si>
  <si>
    <t>Loan installment</t>
  </si>
  <si>
    <t>Finance cost</t>
  </si>
  <si>
    <t>Total receipts</t>
  </si>
  <si>
    <t>Total Payments</t>
  </si>
  <si>
    <t>Net receipts</t>
  </si>
  <si>
    <t>+Opening cash balance</t>
  </si>
  <si>
    <t>Closing cash balance</t>
  </si>
  <si>
    <t>Consolidated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</si>
</sst>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yyyy\-mm\-dd"/>
    <numFmt numFmtId="168" formatCode="_-* #,##0_-;\-* #,##0_-;_-* &quot;-&quot;??_-;_-@"/>
    <numFmt numFmtId="169" formatCode="_-* #,##0.00_-;\-* #,##0.00_-;_-* &quot;-&quot;??_-;_-@"/>
    <numFmt numFmtId="170" formatCode="[$]d\ mmmm\ yyyy;@" x16r2:formatCode16="[$-en-KE,1]d\ mmmm\ yyyy;@"/>
    <numFmt numFmtId="171" formatCode="0.0000"/>
    <numFmt numFmtId="172" formatCode="0.0%"/>
    <numFmt numFmtId="173" formatCode="_(* #,##0.00000_);_(* \(#,##0.00000\);_(* &quot;-&quot;??_);_(@_)"/>
    <numFmt numFmtId="174" formatCode="_(* #,##0.000_);_(* \(#,##0.000\);_(* &quot;-&quot;??_);_(@_)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231F20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u val="singleAccounting"/>
      <sz val="12"/>
      <name val="Times New Roman"/>
      <family val="1"/>
    </font>
    <font>
      <b/>
      <u val="singleAccounting"/>
      <sz val="12"/>
      <name val="Times New Roman"/>
      <family val="1"/>
    </font>
    <font>
      <u/>
      <sz val="12"/>
      <name val="Times New Roman"/>
      <family val="1"/>
    </font>
    <font>
      <b/>
      <u/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7"/>
      <color theme="1"/>
      <name val="Times New Roman"/>
      <family val="1"/>
    </font>
    <font>
      <b/>
      <sz val="12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2"/>
      <color theme="1"/>
      <name val="Symbol"/>
      <family val="1"/>
      <charset val="2"/>
    </font>
    <font>
      <sz val="8"/>
      <name val="Calibri"/>
      <family val="2"/>
      <scheme val="minor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7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164" fontId="2" fillId="0" borderId="0" xfId="1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65" fontId="2" fillId="0" borderId="0" xfId="1" applyNumberFormat="1" applyFont="1"/>
    <xf numFmtId="0" fontId="2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2" fillId="0" borderId="0" xfId="0" applyFont="1"/>
    <xf numFmtId="0" fontId="14" fillId="0" borderId="0" xfId="0" applyFont="1"/>
    <xf numFmtId="0" fontId="15" fillId="0" borderId="0" xfId="0" applyFont="1"/>
    <xf numFmtId="0" fontId="12" fillId="0" borderId="0" xfId="0" quotePrefix="1" applyFont="1" applyAlignment="1">
      <alignment horizontal="right"/>
    </xf>
    <xf numFmtId="0" fontId="16" fillId="0" borderId="0" xfId="0" applyFont="1"/>
    <xf numFmtId="166" fontId="14" fillId="0" borderId="0" xfId="1" applyNumberFormat="1" applyFont="1"/>
    <xf numFmtId="165" fontId="14" fillId="0" borderId="0" xfId="1" applyNumberFormat="1" applyFont="1"/>
    <xf numFmtId="166" fontId="17" fillId="0" borderId="0" xfId="1" applyNumberFormat="1" applyFont="1"/>
    <xf numFmtId="166" fontId="18" fillId="0" borderId="0" xfId="1" applyNumberFormat="1" applyFont="1"/>
    <xf numFmtId="165" fontId="19" fillId="0" borderId="0" xfId="1" applyNumberFormat="1" applyFont="1"/>
    <xf numFmtId="165" fontId="20" fillId="0" borderId="0" xfId="1" applyNumberFormat="1" applyFont="1"/>
    <xf numFmtId="3" fontId="2" fillId="0" borderId="0" xfId="0" applyNumberFormat="1" applyFont="1"/>
    <xf numFmtId="0" fontId="21" fillId="0" borderId="0" xfId="0" applyFont="1" applyAlignment="1">
      <alignment horizontal="justify" vertical="center"/>
    </xf>
    <xf numFmtId="0" fontId="22" fillId="0" borderId="0" xfId="0" applyFont="1"/>
    <xf numFmtId="164" fontId="23" fillId="0" borderId="2" xfId="1" applyFont="1" applyFill="1" applyBorder="1"/>
    <xf numFmtId="165" fontId="15" fillId="0" borderId="2" xfId="1" applyNumberFormat="1" applyFont="1" applyFill="1" applyBorder="1"/>
    <xf numFmtId="43" fontId="10" fillId="0" borderId="0" xfId="0" applyNumberFormat="1" applyFont="1"/>
    <xf numFmtId="165" fontId="22" fillId="0" borderId="0" xfId="0" applyNumberFormat="1" applyFont="1"/>
    <xf numFmtId="166" fontId="22" fillId="0" borderId="0" xfId="0" applyNumberFormat="1" applyFont="1"/>
    <xf numFmtId="0" fontId="24" fillId="0" borderId="0" xfId="0" applyFont="1"/>
    <xf numFmtId="164" fontId="22" fillId="0" borderId="0" xfId="1" applyFont="1"/>
    <xf numFmtId="166" fontId="22" fillId="0" borderId="0" xfId="1" applyNumberFormat="1" applyFont="1"/>
    <xf numFmtId="166" fontId="16" fillId="0" borderId="0" xfId="0" applyNumberFormat="1" applyFont="1"/>
    <xf numFmtId="164" fontId="0" fillId="0" borderId="0" xfId="1" applyFont="1"/>
    <xf numFmtId="0" fontId="13" fillId="0" borderId="0" xfId="0" applyFont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3" fontId="10" fillId="0" borderId="0" xfId="0" applyNumberFormat="1" applyFont="1" applyAlignment="1">
      <alignment horizontal="justify" vertical="center" wrapText="1"/>
    </xf>
    <xf numFmtId="0" fontId="10" fillId="0" borderId="0" xfId="0" applyFont="1" applyAlignment="1">
      <alignment horizontal="right" vertical="center"/>
    </xf>
    <xf numFmtId="0" fontId="26" fillId="3" borderId="0" xfId="0" applyFont="1" applyFill="1" applyAlignment="1">
      <alignment horizontal="center"/>
    </xf>
    <xf numFmtId="167" fontId="2" fillId="0" borderId="0" xfId="0" applyNumberFormat="1" applyFont="1"/>
    <xf numFmtId="2" fontId="2" fillId="0" borderId="0" xfId="1" applyNumberFormat="1" applyFont="1" applyFill="1" applyAlignment="1">
      <alignment horizontal="center"/>
    </xf>
    <xf numFmtId="0" fontId="6" fillId="0" borderId="0" xfId="0" applyFont="1" applyAlignment="1">
      <alignment horizontal="justify" vertical="center"/>
    </xf>
    <xf numFmtId="164" fontId="2" fillId="0" borderId="0" xfId="1" applyFont="1" applyFill="1" applyAlignment="1"/>
    <xf numFmtId="0" fontId="21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27" fillId="0" borderId="0" xfId="0" applyFont="1"/>
    <xf numFmtId="0" fontId="28" fillId="2" borderId="0" xfId="0" applyFont="1" applyFill="1"/>
    <xf numFmtId="0" fontId="29" fillId="0" borderId="0" xfId="0" applyFont="1"/>
    <xf numFmtId="17" fontId="28" fillId="2" borderId="4" xfId="0" applyNumberFormat="1" applyFont="1" applyFill="1" applyBorder="1" applyAlignment="1">
      <alignment horizontal="left"/>
    </xf>
    <xf numFmtId="165" fontId="28" fillId="2" borderId="5" xfId="1" applyNumberFormat="1" applyFont="1" applyFill="1" applyBorder="1" applyAlignment="1">
      <alignment horizontal="center" vertical="top"/>
    </xf>
    <xf numFmtId="43" fontId="28" fillId="2" borderId="5" xfId="0" applyNumberFormat="1" applyFont="1" applyFill="1" applyBorder="1" applyAlignment="1">
      <alignment horizontal="left"/>
    </xf>
    <xf numFmtId="17" fontId="28" fillId="2" borderId="3" xfId="0" applyNumberFormat="1" applyFont="1" applyFill="1" applyBorder="1" applyAlignment="1">
      <alignment horizontal="left"/>
    </xf>
    <xf numFmtId="165" fontId="28" fillId="2" borderId="1" xfId="1" applyNumberFormat="1" applyFont="1" applyFill="1" applyBorder="1" applyAlignment="1">
      <alignment horizontal="center" vertical="top"/>
    </xf>
    <xf numFmtId="43" fontId="28" fillId="2" borderId="1" xfId="0" applyNumberFormat="1" applyFont="1" applyFill="1" applyBorder="1" applyAlignment="1">
      <alignment horizontal="left"/>
    </xf>
    <xf numFmtId="0" fontId="27" fillId="2" borderId="0" xfId="0" applyFont="1" applyFill="1"/>
    <xf numFmtId="0" fontId="28" fillId="0" borderId="0" xfId="0" applyFont="1" applyAlignment="1">
      <alignment horizontal="right"/>
    </xf>
    <xf numFmtId="0" fontId="28" fillId="2" borderId="6" xfId="0" applyFont="1" applyFill="1" applyBorder="1"/>
    <xf numFmtId="0" fontId="28" fillId="2" borderId="0" xfId="0" applyFont="1" applyFill="1" applyAlignment="1">
      <alignment horizontal="right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2" borderId="2" xfId="0" applyFont="1" applyFill="1" applyBorder="1"/>
    <xf numFmtId="0" fontId="27" fillId="2" borderId="2" xfId="0" applyFont="1" applyFill="1" applyBorder="1"/>
    <xf numFmtId="0" fontId="27" fillId="2" borderId="2" xfId="0" applyFont="1" applyFill="1" applyBorder="1" applyAlignment="1">
      <alignment horizontal="right"/>
    </xf>
    <xf numFmtId="43" fontId="22" fillId="0" borderId="0" xfId="0" applyNumberFormat="1" applyFont="1"/>
    <xf numFmtId="166" fontId="5" fillId="0" borderId="0" xfId="1" applyNumberFormat="1" applyFont="1"/>
    <xf numFmtId="164" fontId="5" fillId="0" borderId="0" xfId="1" applyFont="1"/>
    <xf numFmtId="164" fontId="5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right"/>
    </xf>
    <xf numFmtId="0" fontId="24" fillId="0" borderId="0" xfId="0" applyFont="1" applyAlignment="1">
      <alignment wrapText="1"/>
    </xf>
    <xf numFmtId="0" fontId="21" fillId="0" borderId="0" xfId="0" applyFont="1"/>
    <xf numFmtId="0" fontId="6" fillId="0" borderId="0" xfId="0" applyFont="1"/>
    <xf numFmtId="0" fontId="30" fillId="0" borderId="0" xfId="0" applyFont="1"/>
    <xf numFmtId="168" fontId="2" fillId="0" borderId="0" xfId="0" applyNumberFormat="1" applyFont="1"/>
    <xf numFmtId="169" fontId="2" fillId="0" borderId="0" xfId="0" applyNumberFormat="1" applyFont="1"/>
    <xf numFmtId="168" fontId="31" fillId="0" borderId="0" xfId="0" applyNumberFormat="1" applyFont="1"/>
    <xf numFmtId="168" fontId="32" fillId="0" borderId="0" xfId="0" applyNumberFormat="1" applyFont="1"/>
    <xf numFmtId="165" fontId="2" fillId="0" borderId="0" xfId="0" applyNumberFormat="1" applyFont="1"/>
    <xf numFmtId="165" fontId="31" fillId="0" borderId="0" xfId="0" applyNumberFormat="1" applyFont="1"/>
    <xf numFmtId="165" fontId="32" fillId="0" borderId="0" xfId="0" applyNumberFormat="1" applyFont="1"/>
    <xf numFmtId="0" fontId="34" fillId="0" borderId="0" xfId="0" applyFont="1"/>
    <xf numFmtId="165" fontId="0" fillId="0" borderId="0" xfId="1" applyNumberFormat="1" applyFont="1"/>
    <xf numFmtId="9" fontId="0" fillId="0" borderId="0" xfId="2" applyFont="1"/>
    <xf numFmtId="0" fontId="33" fillId="0" borderId="0" xfId="0" applyFont="1"/>
    <xf numFmtId="168" fontId="0" fillId="0" borderId="0" xfId="0" applyNumberFormat="1"/>
    <xf numFmtId="0" fontId="9" fillId="0" borderId="0" xfId="0" applyFont="1" applyAlignment="1">
      <alignment horizontal="justify" vertical="center" wrapText="1"/>
    </xf>
    <xf numFmtId="170" fontId="5" fillId="0" borderId="0" xfId="0" applyNumberFormat="1" applyFont="1" applyAlignment="1">
      <alignment horizontal="left"/>
    </xf>
    <xf numFmtId="166" fontId="5" fillId="0" borderId="0" xfId="1" applyNumberFormat="1" applyFont="1" applyAlignment="1">
      <alignment horizontal="center"/>
    </xf>
    <xf numFmtId="0" fontId="38" fillId="0" borderId="0" xfId="0" applyFont="1"/>
    <xf numFmtId="0" fontId="39" fillId="0" borderId="0" xfId="0" applyFont="1"/>
    <xf numFmtId="0" fontId="4" fillId="0" borderId="0" xfId="3" applyFont="1" applyAlignment="1">
      <alignment horizontal="right"/>
    </xf>
    <xf numFmtId="0" fontId="0" fillId="0" borderId="0" xfId="0" applyAlignment="1">
      <alignment horizontal="right"/>
    </xf>
    <xf numFmtId="171" fontId="0" fillId="0" borderId="0" xfId="0" applyNumberFormat="1"/>
    <xf numFmtId="0" fontId="0" fillId="0" borderId="0" xfId="0" quotePrefix="1"/>
    <xf numFmtId="0" fontId="9" fillId="0" borderId="0" xfId="0" applyFont="1" applyAlignment="1">
      <alignment vertical="center"/>
    </xf>
    <xf numFmtId="0" fontId="42" fillId="0" borderId="0" xfId="0" quotePrefix="1" applyFont="1"/>
    <xf numFmtId="0" fontId="43" fillId="0" borderId="0" xfId="0" applyFont="1"/>
    <xf numFmtId="10" fontId="0" fillId="0" borderId="0" xfId="2" applyNumberFormat="1" applyFont="1"/>
    <xf numFmtId="9" fontId="0" fillId="0" borderId="0" xfId="0" applyNumberFormat="1"/>
    <xf numFmtId="0" fontId="0" fillId="0" borderId="0" xfId="0" applyFill="1" applyBorder="1" applyAlignment="1"/>
    <xf numFmtId="0" fontId="0" fillId="0" borderId="7" xfId="0" applyFill="1" applyBorder="1" applyAlignment="1"/>
    <xf numFmtId="0" fontId="44" fillId="0" borderId="8" xfId="0" applyFont="1" applyFill="1" applyBorder="1" applyAlignment="1">
      <alignment horizontal="center"/>
    </xf>
    <xf numFmtId="0" fontId="44" fillId="0" borderId="8" xfId="0" applyFont="1" applyFill="1" applyBorder="1" applyAlignment="1">
      <alignment horizontal="centerContinuous"/>
    </xf>
    <xf numFmtId="3" fontId="10" fillId="0" borderId="0" xfId="0" applyNumberFormat="1" applyFont="1" applyAlignment="1">
      <alignment horizontal="justify" vertical="center"/>
    </xf>
    <xf numFmtId="172" fontId="0" fillId="0" borderId="0" xfId="2" applyNumberFormat="1" applyFont="1"/>
    <xf numFmtId="2" fontId="0" fillId="0" borderId="0" xfId="0" applyNumberFormat="1" applyFill="1" applyBorder="1" applyAlignment="1"/>
    <xf numFmtId="0" fontId="0" fillId="0" borderId="2" xfId="0" applyBorder="1"/>
    <xf numFmtId="0" fontId="44" fillId="0" borderId="2" xfId="0" applyFont="1" applyFill="1" applyBorder="1" applyAlignment="1">
      <alignment horizontal="center"/>
    </xf>
    <xf numFmtId="165" fontId="0" fillId="0" borderId="2" xfId="1" applyNumberFormat="1" applyFont="1" applyBorder="1"/>
    <xf numFmtId="164" fontId="0" fillId="0" borderId="0" xfId="1" applyFont="1" applyFill="1" applyBorder="1" applyAlignment="1"/>
    <xf numFmtId="164" fontId="0" fillId="0" borderId="7" xfId="1" applyFont="1" applyFill="1" applyBorder="1" applyAlignment="1"/>
    <xf numFmtId="165" fontId="0" fillId="0" borderId="0" xfId="0" applyNumberFormat="1"/>
    <xf numFmtId="0" fontId="42" fillId="0" borderId="0" xfId="0" applyFont="1"/>
    <xf numFmtId="1" fontId="0" fillId="0" borderId="0" xfId="0" applyNumberFormat="1"/>
    <xf numFmtId="165" fontId="13" fillId="0" borderId="0" xfId="1" applyNumberFormat="1" applyFont="1"/>
    <xf numFmtId="173" fontId="0" fillId="0" borderId="0" xfId="1" applyNumberFormat="1" applyFont="1"/>
    <xf numFmtId="165" fontId="0" fillId="0" borderId="0" xfId="1" quotePrefix="1" applyNumberFormat="1" applyFont="1"/>
    <xf numFmtId="166" fontId="22" fillId="4" borderId="0" xfId="0" applyNumberFormat="1" applyFont="1" applyFill="1"/>
    <xf numFmtId="165" fontId="22" fillId="0" borderId="0" xfId="1" applyNumberFormat="1" applyFont="1"/>
    <xf numFmtId="9" fontId="22" fillId="0" borderId="0" xfId="0" applyNumberFormat="1" applyFont="1"/>
    <xf numFmtId="0" fontId="47" fillId="0" borderId="0" xfId="0" applyFont="1"/>
    <xf numFmtId="165" fontId="47" fillId="0" borderId="0" xfId="1" applyNumberFormat="1" applyFont="1"/>
    <xf numFmtId="164" fontId="47" fillId="0" borderId="0" xfId="1" applyFont="1"/>
    <xf numFmtId="165" fontId="47" fillId="0" borderId="0" xfId="0" applyNumberFormat="1" applyFont="1"/>
    <xf numFmtId="0" fontId="48" fillId="0" borderId="0" xfId="0" applyFont="1"/>
    <xf numFmtId="164" fontId="48" fillId="0" borderId="0" xfId="1" applyFont="1"/>
    <xf numFmtId="174" fontId="2" fillId="0" borderId="0" xfId="1" applyNumberFormat="1" applyFont="1"/>
    <xf numFmtId="165" fontId="3" fillId="0" borderId="0" xfId="1" applyNumberFormat="1" applyFont="1"/>
    <xf numFmtId="166" fontId="15" fillId="0" borderId="0" xfId="0" applyNumberFormat="1" applyFont="1"/>
    <xf numFmtId="165" fontId="15" fillId="0" borderId="0" xfId="1" applyNumberFormat="1" applyFont="1"/>
    <xf numFmtId="165" fontId="18" fillId="0" borderId="0" xfId="1" applyNumberFormat="1" applyFont="1"/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justify" vertical="center"/>
    </xf>
    <xf numFmtId="165" fontId="15" fillId="0" borderId="0" xfId="0" applyNumberFormat="1" applyFont="1"/>
    <xf numFmtId="165" fontId="16" fillId="0" borderId="0" xfId="1" applyNumberFormat="1" applyFont="1"/>
    <xf numFmtId="165" fontId="15" fillId="0" borderId="0" xfId="1" applyNumberFormat="1" applyFont="1" applyAlignment="1">
      <alignment vertical="center"/>
    </xf>
    <xf numFmtId="165" fontId="15" fillId="0" borderId="0" xfId="1" applyNumberFormat="1" applyFont="1" applyAlignment="1">
      <alignment horizontal="left" vertical="center"/>
    </xf>
    <xf numFmtId="165" fontId="16" fillId="0" borderId="0" xfId="1" applyNumberFormat="1" applyFont="1" applyAlignment="1">
      <alignment horizontal="right"/>
    </xf>
    <xf numFmtId="43" fontId="14" fillId="0" borderId="0" xfId="0" applyNumberFormat="1" applyFont="1"/>
    <xf numFmtId="43" fontId="15" fillId="0" borderId="0" xfId="0" applyNumberFormat="1" applyFont="1"/>
    <xf numFmtId="0" fontId="15" fillId="0" borderId="0" xfId="0" quotePrefix="1" applyFont="1"/>
    <xf numFmtId="0" fontId="16" fillId="0" borderId="9" xfId="0" applyFont="1" applyBorder="1"/>
    <xf numFmtId="165" fontId="16" fillId="0" borderId="9" xfId="1" applyNumberFormat="1" applyFont="1" applyBorder="1"/>
    <xf numFmtId="0" fontId="16" fillId="0" borderId="0" xfId="0" applyFont="1" applyAlignment="1">
      <alignment horizontal="center"/>
    </xf>
    <xf numFmtId="0" fontId="3" fillId="0" borderId="2" xfId="0" applyFont="1" applyBorder="1"/>
    <xf numFmtId="0" fontId="13" fillId="0" borderId="2" xfId="0" applyFont="1" applyBorder="1"/>
    <xf numFmtId="0" fontId="49" fillId="0" borderId="2" xfId="0" applyFont="1" applyBorder="1"/>
    <xf numFmtId="0" fontId="2" fillId="0" borderId="2" xfId="0" applyFont="1" applyBorder="1"/>
    <xf numFmtId="0" fontId="33" fillId="0" borderId="2" xfId="0" applyFont="1" applyBorder="1"/>
    <xf numFmtId="165" fontId="2" fillId="0" borderId="2" xfId="1" applyNumberFormat="1" applyFont="1" applyBorder="1"/>
    <xf numFmtId="165" fontId="35" fillId="0" borderId="2" xfId="1" applyNumberFormat="1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0" fillId="0" borderId="2" xfId="0" applyNumberFormat="1" applyBorder="1"/>
    <xf numFmtId="165" fontId="33" fillId="0" borderId="2" xfId="1" applyNumberFormat="1" applyFont="1" applyBorder="1"/>
    <xf numFmtId="165" fontId="3" fillId="0" borderId="2" xfId="1" applyNumberFormat="1" applyFont="1" applyBorder="1"/>
    <xf numFmtId="0" fontId="2" fillId="0" borderId="2" xfId="0" quotePrefix="1" applyFont="1" applyBorder="1"/>
  </cellXfs>
  <cellStyles count="4">
    <cellStyle name="Comma" xfId="1" builtinId="3"/>
    <cellStyle name="Normal" xfId="0" builtinId="0"/>
    <cellStyle name="Normal 2" xfId="3" xr:uid="{52035599-739B-4820-9C2D-B78AB0A6FD6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 line graph</a:t>
            </a:r>
            <a:r>
              <a:rPr lang="en-US" baseline="0"/>
              <a:t> showing predicted and actual production cost plotted against units produced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'BDA DECEMBER 2022 Q25'!$G$69</c:f>
              <c:strCache>
                <c:ptCount val="1"/>
                <c:pt idx="0">
                  <c:v>Actual Production cost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'BDA DECEMBER 2022 Q25'!$F$70:$F$81</c:f>
              <c:numCache>
                <c:formatCode>#,##0</c:formatCode>
                <c:ptCount val="12"/>
                <c:pt idx="0">
                  <c:v>150000</c:v>
                </c:pt>
                <c:pt idx="1">
                  <c:v>120000</c:v>
                </c:pt>
                <c:pt idx="2">
                  <c:v>200000</c:v>
                </c:pt>
                <c:pt idx="3">
                  <c:v>170000</c:v>
                </c:pt>
                <c:pt idx="4">
                  <c:v>120000</c:v>
                </c:pt>
                <c:pt idx="5">
                  <c:v>250000</c:v>
                </c:pt>
                <c:pt idx="6">
                  <c:v>220000</c:v>
                </c:pt>
                <c:pt idx="7">
                  <c:v>90000</c:v>
                </c:pt>
                <c:pt idx="8">
                  <c:v>180000</c:v>
                </c:pt>
                <c:pt idx="9">
                  <c:v>300000</c:v>
                </c:pt>
                <c:pt idx="10">
                  <c:v>280000</c:v>
                </c:pt>
                <c:pt idx="11">
                  <c:v>350000</c:v>
                </c:pt>
              </c:numCache>
            </c:numRef>
          </c:cat>
          <c:val>
            <c:numRef>
              <c:f>'BDA DECEMBER 2022 Q25'!$G$70:$G$81</c:f>
              <c:numCache>
                <c:formatCode>#,##0</c:formatCode>
                <c:ptCount val="12"/>
                <c:pt idx="0">
                  <c:v>18000000</c:v>
                </c:pt>
                <c:pt idx="1">
                  <c:v>14000000</c:v>
                </c:pt>
                <c:pt idx="2">
                  <c:v>23000000</c:v>
                </c:pt>
                <c:pt idx="3">
                  <c:v>19000000</c:v>
                </c:pt>
                <c:pt idx="4">
                  <c:v>16000000</c:v>
                </c:pt>
                <c:pt idx="5">
                  <c:v>30000000</c:v>
                </c:pt>
                <c:pt idx="6">
                  <c:v>27000000</c:v>
                </c:pt>
                <c:pt idx="7">
                  <c:v>11000000</c:v>
                </c:pt>
                <c:pt idx="8">
                  <c:v>24000000</c:v>
                </c:pt>
                <c:pt idx="9">
                  <c:v>32000000</c:v>
                </c:pt>
                <c:pt idx="10">
                  <c:v>29000000</c:v>
                </c:pt>
                <c:pt idx="11">
                  <c:v>36000000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A4-43B0-A428-940441992F17}"/>
            </c:ext>
          </c:extLst>
        </c:ser>
        <c:ser>
          <c:idx val="2"/>
          <c:order val="1"/>
          <c:tx>
            <c:strRef>
              <c:f>'BDA DECEMBER 2022 Q25'!$H$69</c:f>
              <c:strCache>
                <c:ptCount val="1"/>
                <c:pt idx="0">
                  <c:v>Predicted Production cost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'BDA DECEMBER 2022 Q25'!$F$70:$F$81</c:f>
              <c:numCache>
                <c:formatCode>#,##0</c:formatCode>
                <c:ptCount val="12"/>
                <c:pt idx="0">
                  <c:v>150000</c:v>
                </c:pt>
                <c:pt idx="1">
                  <c:v>120000</c:v>
                </c:pt>
                <c:pt idx="2">
                  <c:v>200000</c:v>
                </c:pt>
                <c:pt idx="3">
                  <c:v>170000</c:v>
                </c:pt>
                <c:pt idx="4">
                  <c:v>120000</c:v>
                </c:pt>
                <c:pt idx="5">
                  <c:v>250000</c:v>
                </c:pt>
                <c:pt idx="6">
                  <c:v>220000</c:v>
                </c:pt>
                <c:pt idx="7">
                  <c:v>90000</c:v>
                </c:pt>
                <c:pt idx="8">
                  <c:v>180000</c:v>
                </c:pt>
                <c:pt idx="9">
                  <c:v>300000</c:v>
                </c:pt>
                <c:pt idx="10">
                  <c:v>280000</c:v>
                </c:pt>
                <c:pt idx="11">
                  <c:v>350000</c:v>
                </c:pt>
              </c:numCache>
            </c:numRef>
          </c:cat>
          <c:val>
            <c:numRef>
              <c:f>'BDA DECEMBER 2022 Q25'!$H$70:$H$81</c:f>
              <c:numCache>
                <c:formatCode>_(* #,##0_);_(* \(#,##0\);_(* "-"??_);_(@_)</c:formatCode>
                <c:ptCount val="12"/>
                <c:pt idx="0">
                  <c:v>18253461.128860492</c:v>
                </c:pt>
                <c:pt idx="1">
                  <c:v>15398296.059637915</c:v>
                </c:pt>
                <c:pt idx="2">
                  <c:v>23012069.577564787</c:v>
                </c:pt>
                <c:pt idx="3">
                  <c:v>20156904.50834221</c:v>
                </c:pt>
                <c:pt idx="4">
                  <c:v>15398296.059637915</c:v>
                </c:pt>
                <c:pt idx="5">
                  <c:v>27770678.026269082</c:v>
                </c:pt>
                <c:pt idx="6">
                  <c:v>24915512.957046505</c:v>
                </c:pt>
                <c:pt idx="7">
                  <c:v>12543130.990415338</c:v>
                </c:pt>
                <c:pt idx="8">
                  <c:v>21108626.198083069</c:v>
                </c:pt>
                <c:pt idx="9">
                  <c:v>32529286.474973377</c:v>
                </c:pt>
                <c:pt idx="10">
                  <c:v>30625843.095491659</c:v>
                </c:pt>
                <c:pt idx="11">
                  <c:v>37287894.923677668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A4-43B0-A428-940441992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327455"/>
        <c:axId val="392328287"/>
      </c:lineChart>
      <c:catAx>
        <c:axId val="3923274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units produced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328287"/>
        <c:crosses val="autoZero"/>
        <c:auto val="1"/>
        <c:lblAlgn val="ctr"/>
        <c:lblOffset val="100"/>
        <c:noMultiLvlLbl val="0"/>
      </c:catAx>
      <c:valAx>
        <c:axId val="392328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production</a:t>
                </a:r>
                <a:r>
                  <a:rPr lang="en-US" baseline="0"/>
                  <a:t> cost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327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'BDA DECEMBER 2022 Q25'!$H$37</c:f>
              <c:strCache>
                <c:ptCount val="1"/>
                <c:pt idx="0">
                  <c:v>Base 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'BDA DECEMBER 2022 Q25'!$G$38:$G$44</c:f>
              <c:numCache>
                <c:formatCode>_(* #,##0_);_(* \(#,##0\);_(* "-"??_);_(@_)</c:formatCode>
                <c:ptCount val="7"/>
                <c:pt idx="0">
                  <c:v>460000</c:v>
                </c:pt>
                <c:pt idx="1">
                  <c:v>150000</c:v>
                </c:pt>
                <c:pt idx="2">
                  <c:v>120000</c:v>
                </c:pt>
                <c:pt idx="3">
                  <c:v>250000</c:v>
                </c:pt>
                <c:pt idx="4">
                  <c:v>260000</c:v>
                </c:pt>
                <c:pt idx="5">
                  <c:v>120000</c:v>
                </c:pt>
                <c:pt idx="6">
                  <c:v>80000</c:v>
                </c:pt>
              </c:numCache>
            </c:numRef>
          </c:cat>
          <c:val>
            <c:numRef>
              <c:f>'BDA DECEMBER 2022 Q25'!$H$38:$H$44</c:f>
              <c:numCache>
                <c:formatCode>_(* #,##0_);_(* \(#,##0\);_(* "-"??_);_(@_)</c:formatCode>
                <c:ptCount val="7"/>
                <c:pt idx="0">
                  <c:v>47756833.510827124</c:v>
                </c:pt>
                <c:pt idx="1">
                  <c:v>18253461.128860492</c:v>
                </c:pt>
                <c:pt idx="2">
                  <c:v>15398296.059637915</c:v>
                </c:pt>
                <c:pt idx="3">
                  <c:v>27770678.026269082</c:v>
                </c:pt>
                <c:pt idx="4">
                  <c:v>28722399.716009941</c:v>
                </c:pt>
                <c:pt idx="5">
                  <c:v>15398296.059637915</c:v>
                </c:pt>
                <c:pt idx="6">
                  <c:v>11591409.300674479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4B-4CC7-9E1D-1461B619C0EB}"/>
            </c:ext>
          </c:extLst>
        </c:ser>
        <c:ser>
          <c:idx val="2"/>
          <c:order val="1"/>
          <c:tx>
            <c:strRef>
              <c:f>'BDA DECEMBER 2022 Q25'!$I$37</c:f>
              <c:strCache>
                <c:ptCount val="1"/>
                <c:pt idx="0">
                  <c:v>Lower 95%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'BDA DECEMBER 2022 Q25'!$G$38:$G$44</c:f>
              <c:numCache>
                <c:formatCode>_(* #,##0_);_(* \(#,##0\);_(* "-"??_);_(@_)</c:formatCode>
                <c:ptCount val="7"/>
                <c:pt idx="0">
                  <c:v>460000</c:v>
                </c:pt>
                <c:pt idx="1">
                  <c:v>150000</c:v>
                </c:pt>
                <c:pt idx="2">
                  <c:v>120000</c:v>
                </c:pt>
                <c:pt idx="3">
                  <c:v>250000</c:v>
                </c:pt>
                <c:pt idx="4">
                  <c:v>260000</c:v>
                </c:pt>
                <c:pt idx="5">
                  <c:v>120000</c:v>
                </c:pt>
                <c:pt idx="6">
                  <c:v>80000</c:v>
                </c:pt>
              </c:numCache>
            </c:numRef>
          </c:cat>
          <c:val>
            <c:numRef>
              <c:f>'BDA DECEMBER 2022 Q25'!$I$38:$I$44</c:f>
              <c:numCache>
                <c:formatCode>_(* #,##0_);_(* \(#,##0\);_(* "-"??_);_(@_)</c:formatCode>
                <c:ptCount val="7"/>
                <c:pt idx="0">
                  <c:v>38191665.203755423</c:v>
                </c:pt>
                <c:pt idx="1">
                  <c:v>13071403.447498847</c:v>
                </c:pt>
                <c:pt idx="2">
                  <c:v>10640410.374312727</c:v>
                </c:pt>
                <c:pt idx="3">
                  <c:v>21174713.691452581</c:v>
                </c:pt>
                <c:pt idx="4">
                  <c:v>21985044.715847954</c:v>
                </c:pt>
                <c:pt idx="5">
                  <c:v>10640410.374312727</c:v>
                </c:pt>
                <c:pt idx="6">
                  <c:v>7399086.2767312322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4B-4CC7-9E1D-1461B619C0EB}"/>
            </c:ext>
          </c:extLst>
        </c:ser>
        <c:ser>
          <c:idx val="3"/>
          <c:order val="2"/>
          <c:tx>
            <c:strRef>
              <c:f>'BDA DECEMBER 2022 Q25'!$J$37</c:f>
              <c:strCache>
                <c:ptCount val="1"/>
                <c:pt idx="0">
                  <c:v>Upper 95%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'BDA DECEMBER 2022 Q25'!$G$38:$G$44</c:f>
              <c:numCache>
                <c:formatCode>_(* #,##0_);_(* \(#,##0\);_(* "-"??_);_(@_)</c:formatCode>
                <c:ptCount val="7"/>
                <c:pt idx="0">
                  <c:v>460000</c:v>
                </c:pt>
                <c:pt idx="1">
                  <c:v>150000</c:v>
                </c:pt>
                <c:pt idx="2">
                  <c:v>120000</c:v>
                </c:pt>
                <c:pt idx="3">
                  <c:v>250000</c:v>
                </c:pt>
                <c:pt idx="4">
                  <c:v>260000</c:v>
                </c:pt>
                <c:pt idx="5">
                  <c:v>120000</c:v>
                </c:pt>
                <c:pt idx="6">
                  <c:v>80000</c:v>
                </c:pt>
              </c:numCache>
            </c:numRef>
          </c:cat>
          <c:val>
            <c:numRef>
              <c:f>'BDA DECEMBER 2022 Q25'!$J$38:$J$44</c:f>
              <c:numCache>
                <c:formatCode>_(* #,##0_);_(* \(#,##0\);_(* "-"??_);_(@_)</c:formatCode>
                <c:ptCount val="7"/>
                <c:pt idx="0">
                  <c:v>57322001.81789881</c:v>
                </c:pt>
                <c:pt idx="1">
                  <c:v>23435518.810222134</c:v>
                </c:pt>
                <c:pt idx="2">
                  <c:v>20156181.744963102</c:v>
                </c:pt>
                <c:pt idx="3">
                  <c:v>34366642.361085579</c:v>
                </c:pt>
                <c:pt idx="4">
                  <c:v>35459754.71617192</c:v>
                </c:pt>
                <c:pt idx="5">
                  <c:v>20156181.744963102</c:v>
                </c:pt>
                <c:pt idx="6">
                  <c:v>15783732.324617725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4B-4CC7-9E1D-1461B619C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718111"/>
        <c:axId val="218718943"/>
      </c:lineChart>
      <c:catAx>
        <c:axId val="218718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718943"/>
        <c:crosses val="autoZero"/>
        <c:auto val="1"/>
        <c:lblAlgn val="ctr"/>
        <c:lblOffset val="100"/>
        <c:noMultiLvlLbl val="0"/>
      </c:catAx>
      <c:valAx>
        <c:axId val="218718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718111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 line graph for price against time/dates.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'BDA APRIL 2023 Q22'!$C$7</c:f>
              <c:strCache>
                <c:ptCount val="1"/>
                <c:pt idx="0">
                  <c:v>Price per kg(Y)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4722964436858655E-2"/>
                  <c:y val="-0.170968948648860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'BDA APRIL 2023 Q22'!$A$8:$A$162</c:f>
              <c:numCache>
                <c:formatCode>yyyy\-mm\-dd</c:formatCode>
                <c:ptCount val="155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</c:numCache>
            </c:numRef>
          </c:cat>
          <c:val>
            <c:numRef>
              <c:f>'BDA APRIL 2023 Q22'!$C$8:$C$162</c:f>
              <c:numCache>
                <c:formatCode>0.00</c:formatCode>
                <c:ptCount val="155"/>
                <c:pt idx="0">
                  <c:v>182.39</c:v>
                </c:pt>
                <c:pt idx="1">
                  <c:v>192.25</c:v>
                </c:pt>
                <c:pt idx="2">
                  <c:v>192.19</c:v>
                </c:pt>
                <c:pt idx="3">
                  <c:v>188.5</c:v>
                </c:pt>
                <c:pt idx="4">
                  <c:v>182.09</c:v>
                </c:pt>
                <c:pt idx="5">
                  <c:v>196.95</c:v>
                </c:pt>
                <c:pt idx="6">
                  <c:v>204.48</c:v>
                </c:pt>
                <c:pt idx="7">
                  <c:v>191.95</c:v>
                </c:pt>
                <c:pt idx="8">
                  <c:v>195.41</c:v>
                </c:pt>
                <c:pt idx="9">
                  <c:v>200.48</c:v>
                </c:pt>
                <c:pt idx="10">
                  <c:v>200</c:v>
                </c:pt>
                <c:pt idx="11">
                  <c:v>205.22</c:v>
                </c:pt>
                <c:pt idx="12">
                  <c:v>202.82</c:v>
                </c:pt>
                <c:pt idx="13">
                  <c:v>198.1</c:v>
                </c:pt>
                <c:pt idx="14">
                  <c:v>191.78</c:v>
                </c:pt>
                <c:pt idx="15">
                  <c:v>177.95</c:v>
                </c:pt>
                <c:pt idx="16">
                  <c:v>186.62</c:v>
                </c:pt>
                <c:pt idx="17">
                  <c:v>186.59</c:v>
                </c:pt>
                <c:pt idx="18">
                  <c:v>190.73</c:v>
                </c:pt>
                <c:pt idx="19">
                  <c:v>206.45</c:v>
                </c:pt>
                <c:pt idx="20">
                  <c:v>240.73</c:v>
                </c:pt>
                <c:pt idx="21">
                  <c:v>201.76</c:v>
                </c:pt>
                <c:pt idx="22">
                  <c:v>192.5</c:v>
                </c:pt>
                <c:pt idx="23">
                  <c:v>201.78</c:v>
                </c:pt>
                <c:pt idx="24">
                  <c:v>236.67</c:v>
                </c:pt>
                <c:pt idx="25">
                  <c:v>258.10000000000002</c:v>
                </c:pt>
                <c:pt idx="26">
                  <c:v>241.52</c:v>
                </c:pt>
                <c:pt idx="27">
                  <c:v>190.71</c:v>
                </c:pt>
                <c:pt idx="28">
                  <c:v>200.32</c:v>
                </c:pt>
                <c:pt idx="29">
                  <c:v>223.41</c:v>
                </c:pt>
                <c:pt idx="30">
                  <c:v>201.38</c:v>
                </c:pt>
                <c:pt idx="31">
                  <c:v>211.83</c:v>
                </c:pt>
                <c:pt idx="32">
                  <c:v>224.41</c:v>
                </c:pt>
                <c:pt idx="33">
                  <c:v>211.57</c:v>
                </c:pt>
                <c:pt idx="34">
                  <c:v>194.77</c:v>
                </c:pt>
                <c:pt idx="35">
                  <c:v>201.86</c:v>
                </c:pt>
                <c:pt idx="36">
                  <c:v>225</c:v>
                </c:pt>
                <c:pt idx="37">
                  <c:v>278.89999999999998</c:v>
                </c:pt>
                <c:pt idx="38">
                  <c:v>259.74</c:v>
                </c:pt>
                <c:pt idx="39">
                  <c:v>230.45</c:v>
                </c:pt>
                <c:pt idx="40">
                  <c:v>238.26</c:v>
                </c:pt>
                <c:pt idx="41">
                  <c:v>250.14</c:v>
                </c:pt>
                <c:pt idx="42">
                  <c:v>263.81</c:v>
                </c:pt>
                <c:pt idx="43">
                  <c:v>247.22</c:v>
                </c:pt>
                <c:pt idx="44">
                  <c:v>229.81</c:v>
                </c:pt>
                <c:pt idx="45">
                  <c:v>224.27</c:v>
                </c:pt>
                <c:pt idx="46">
                  <c:v>213.23</c:v>
                </c:pt>
                <c:pt idx="47">
                  <c:v>239.57</c:v>
                </c:pt>
                <c:pt idx="48">
                  <c:v>249.7</c:v>
                </c:pt>
                <c:pt idx="49">
                  <c:v>212.5</c:v>
                </c:pt>
                <c:pt idx="50">
                  <c:v>203.27</c:v>
                </c:pt>
                <c:pt idx="51">
                  <c:v>192.05</c:v>
                </c:pt>
                <c:pt idx="52">
                  <c:v>190.04</c:v>
                </c:pt>
                <c:pt idx="53">
                  <c:v>202.05</c:v>
                </c:pt>
                <c:pt idx="54">
                  <c:v>211.91</c:v>
                </c:pt>
                <c:pt idx="55">
                  <c:v>210.39</c:v>
                </c:pt>
                <c:pt idx="56">
                  <c:v>231.25</c:v>
                </c:pt>
                <c:pt idx="57">
                  <c:v>224.3</c:v>
                </c:pt>
                <c:pt idx="58">
                  <c:v>209.64</c:v>
                </c:pt>
                <c:pt idx="59">
                  <c:v>206.05</c:v>
                </c:pt>
                <c:pt idx="60">
                  <c:v>229.7</c:v>
                </c:pt>
                <c:pt idx="61">
                  <c:v>264.67</c:v>
                </c:pt>
                <c:pt idx="62">
                  <c:v>246.29</c:v>
                </c:pt>
                <c:pt idx="63">
                  <c:v>260.91000000000003</c:v>
                </c:pt>
                <c:pt idx="64">
                  <c:v>265.14</c:v>
                </c:pt>
                <c:pt idx="65">
                  <c:v>284.52</c:v>
                </c:pt>
                <c:pt idx="66">
                  <c:v>287.48</c:v>
                </c:pt>
                <c:pt idx="67">
                  <c:v>321.89999999999998</c:v>
                </c:pt>
                <c:pt idx="68">
                  <c:v>321.58999999999997</c:v>
                </c:pt>
                <c:pt idx="69">
                  <c:v>282.39</c:v>
                </c:pt>
                <c:pt idx="70">
                  <c:v>241</c:v>
                </c:pt>
                <c:pt idx="71">
                  <c:v>228.48</c:v>
                </c:pt>
                <c:pt idx="72">
                  <c:v>261.58999999999997</c:v>
                </c:pt>
                <c:pt idx="73">
                  <c:v>270</c:v>
                </c:pt>
                <c:pt idx="74">
                  <c:v>262.86</c:v>
                </c:pt>
                <c:pt idx="75">
                  <c:v>277.41000000000003</c:v>
                </c:pt>
                <c:pt idx="76">
                  <c:v>288</c:v>
                </c:pt>
                <c:pt idx="77">
                  <c:v>287.14</c:v>
                </c:pt>
                <c:pt idx="78">
                  <c:v>337.65</c:v>
                </c:pt>
                <c:pt idx="79">
                  <c:v>328.38</c:v>
                </c:pt>
                <c:pt idx="80">
                  <c:v>374.41</c:v>
                </c:pt>
                <c:pt idx="81">
                  <c:v>344.77</c:v>
                </c:pt>
                <c:pt idx="82">
                  <c:v>361.05</c:v>
                </c:pt>
                <c:pt idx="83">
                  <c:v>374.22</c:v>
                </c:pt>
                <c:pt idx="84">
                  <c:v>338.66666666666703</c:v>
                </c:pt>
                <c:pt idx="85">
                  <c:v>332.35</c:v>
                </c:pt>
                <c:pt idx="86">
                  <c:v>332.60869565217399</c:v>
                </c:pt>
                <c:pt idx="87">
                  <c:v>313.59090909090901</c:v>
                </c:pt>
                <c:pt idx="88">
                  <c:v>286.142857142857</c:v>
                </c:pt>
                <c:pt idx="89">
                  <c:v>262.36363636363598</c:v>
                </c:pt>
                <c:pt idx="90">
                  <c:v>259.18181818181802</c:v>
                </c:pt>
                <c:pt idx="91">
                  <c:v>315.09090909090901</c:v>
                </c:pt>
                <c:pt idx="92">
                  <c:v>337.18181818181802</c:v>
                </c:pt>
                <c:pt idx="93">
                  <c:v>339.857142857143</c:v>
                </c:pt>
                <c:pt idx="94">
                  <c:v>331.68181818181802</c:v>
                </c:pt>
                <c:pt idx="95">
                  <c:v>352.13043478260897</c:v>
                </c:pt>
                <c:pt idx="96">
                  <c:v>368.09523809523802</c:v>
                </c:pt>
                <c:pt idx="97">
                  <c:v>349.75</c:v>
                </c:pt>
                <c:pt idx="98">
                  <c:v>330.65217391304299</c:v>
                </c:pt>
                <c:pt idx="99">
                  <c:v>325.33333333333297</c:v>
                </c:pt>
                <c:pt idx="100">
                  <c:v>327.68181818181802</c:v>
                </c:pt>
                <c:pt idx="101">
                  <c:v>334.04545454545502</c:v>
                </c:pt>
                <c:pt idx="102">
                  <c:v>356.142857142857</c:v>
                </c:pt>
                <c:pt idx="103">
                  <c:v>358.17391304347802</c:v>
                </c:pt>
                <c:pt idx="104">
                  <c:v>362.27272727272702</c:v>
                </c:pt>
                <c:pt idx="105">
                  <c:v>357.142857142857</c:v>
                </c:pt>
                <c:pt idx="106">
                  <c:v>351.27272727272702</c:v>
                </c:pt>
                <c:pt idx="107">
                  <c:v>333.36363636363598</c:v>
                </c:pt>
                <c:pt idx="108">
                  <c:v>337.27272727272702</c:v>
                </c:pt>
                <c:pt idx="109">
                  <c:v>341</c:v>
                </c:pt>
                <c:pt idx="110">
                  <c:v>341</c:v>
                </c:pt>
                <c:pt idx="111">
                  <c:v>341</c:v>
                </c:pt>
                <c:pt idx="112">
                  <c:v>341</c:v>
                </c:pt>
                <c:pt idx="113">
                  <c:v>341</c:v>
                </c:pt>
                <c:pt idx="114">
                  <c:v>345.58800000000002</c:v>
                </c:pt>
                <c:pt idx="115">
                  <c:v>353.17715942029002</c:v>
                </c:pt>
                <c:pt idx="116">
                  <c:v>358.23186666666697</c:v>
                </c:pt>
                <c:pt idx="117">
                  <c:v>368.161391304348</c:v>
                </c:pt>
                <c:pt idx="118">
                  <c:v>368.11466666666701</c:v>
                </c:pt>
                <c:pt idx="119">
                  <c:v>351.435682539683</c:v>
                </c:pt>
                <c:pt idx="120">
                  <c:v>338.86504347826099</c:v>
                </c:pt>
                <c:pt idx="121">
                  <c:v>320.903733333334</c:v>
                </c:pt>
                <c:pt idx="122">
                  <c:v>297.39530158730201</c:v>
                </c:pt>
                <c:pt idx="123">
                  <c:v>266.31066666666698</c:v>
                </c:pt>
                <c:pt idx="124">
                  <c:v>272.36510144927598</c:v>
                </c:pt>
                <c:pt idx="125">
                  <c:v>258.70533333333299</c:v>
                </c:pt>
                <c:pt idx="126">
                  <c:v>256.15524637681199</c:v>
                </c:pt>
                <c:pt idx="127">
                  <c:v>248.041333333333</c:v>
                </c:pt>
                <c:pt idx="128">
                  <c:v>230.494349206349</c:v>
                </c:pt>
                <c:pt idx="129">
                  <c:v>221.71918840579701</c:v>
                </c:pt>
                <c:pt idx="130">
                  <c:v>235.257523809524</c:v>
                </c:pt>
                <c:pt idx="131">
                  <c:v>245.68533333333301</c:v>
                </c:pt>
                <c:pt idx="132">
                  <c:v>248.99918840579701</c:v>
                </c:pt>
                <c:pt idx="133">
                  <c:v>256.9776</c:v>
                </c:pt>
                <c:pt idx="134">
                  <c:v>237.72571428571399</c:v>
                </c:pt>
                <c:pt idx="135">
                  <c:v>223.40666666666701</c:v>
                </c:pt>
                <c:pt idx="136">
                  <c:v>219.52133333333299</c:v>
                </c:pt>
                <c:pt idx="137">
                  <c:v>223.696</c:v>
                </c:pt>
                <c:pt idx="138">
                  <c:v>232.39397101449299</c:v>
                </c:pt>
                <c:pt idx="139">
                  <c:v>235.77714285714299</c:v>
                </c:pt>
                <c:pt idx="140">
                  <c:v>232.95466666666701</c:v>
                </c:pt>
                <c:pt idx="141">
                  <c:v>256.19478260869602</c:v>
                </c:pt>
                <c:pt idx="142">
                  <c:v>243.33760000000001</c:v>
                </c:pt>
                <c:pt idx="143">
                  <c:v>243.305971014493</c:v>
                </c:pt>
                <c:pt idx="144">
                  <c:v>269.61733333333302</c:v>
                </c:pt>
                <c:pt idx="145">
                  <c:v>296.35173333333398</c:v>
                </c:pt>
                <c:pt idx="146">
                  <c:v>307.56133333333401</c:v>
                </c:pt>
                <c:pt idx="147">
                  <c:v>290.73866666666697</c:v>
                </c:pt>
                <c:pt idx="148">
                  <c:v>313.80660317460303</c:v>
                </c:pt>
                <c:pt idx="149">
                  <c:v>355.88</c:v>
                </c:pt>
                <c:pt idx="150">
                  <c:v>403.032347826087</c:v>
                </c:pt>
                <c:pt idx="151">
                  <c:v>387.33269841269902</c:v>
                </c:pt>
                <c:pt idx="152">
                  <c:v>371.21466666666697</c:v>
                </c:pt>
                <c:pt idx="153">
                  <c:v>391.84</c:v>
                </c:pt>
                <c:pt idx="154">
                  <c:v>353.77396825396801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7-42EB-BED4-2BEDB10F6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3196575"/>
        <c:axId val="343189919"/>
      </c:lineChart>
      <c:dateAx>
        <c:axId val="343196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yyyy\-mm\-dd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3189919"/>
        <c:crosses val="autoZero"/>
        <c:auto val="1"/>
        <c:lblOffset val="100"/>
        <c:baseTimeUnit val="months"/>
      </c:dateAx>
      <c:valAx>
        <c:axId val="343189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price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3196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BEP/CVP</a:t>
            </a:r>
            <a:r>
              <a:rPr lang="en-US" baseline="0"/>
              <a:t> chart of a single product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'BDA AUGUST 2023 Q23'!$AR$7</c:f>
              <c:strCache>
                <c:ptCount val="1"/>
                <c:pt idx="0">
                  <c:v>TFC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'BDA AUGUST 2023 Q23'!$AQ$8:$AQ$24</c:f>
              <c:numCache>
                <c:formatCode>General</c:formatCode>
                <c:ptCount val="17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  <c:pt idx="6">
                  <c:v>1500</c:v>
                </c:pt>
                <c:pt idx="7">
                  <c:v>1750</c:v>
                </c:pt>
                <c:pt idx="8">
                  <c:v>2000</c:v>
                </c:pt>
                <c:pt idx="9">
                  <c:v>2250</c:v>
                </c:pt>
                <c:pt idx="10">
                  <c:v>2500</c:v>
                </c:pt>
                <c:pt idx="11">
                  <c:v>2750</c:v>
                </c:pt>
                <c:pt idx="12">
                  <c:v>3000</c:v>
                </c:pt>
                <c:pt idx="13">
                  <c:v>3250</c:v>
                </c:pt>
                <c:pt idx="14">
                  <c:v>3500</c:v>
                </c:pt>
                <c:pt idx="15">
                  <c:v>3750</c:v>
                </c:pt>
                <c:pt idx="16">
                  <c:v>4000</c:v>
                </c:pt>
              </c:numCache>
            </c:numRef>
          </c:cat>
          <c:val>
            <c:numRef>
              <c:f>'BDA AUGUST 2023 Q23'!$AR$8:$AR$24</c:f>
              <c:numCache>
                <c:formatCode>_(* #,##0_);_(* \(#,##0\);_(* "-"??_);_(@_)</c:formatCode>
                <c:ptCount val="17"/>
                <c:pt idx="0">
                  <c:v>2500000</c:v>
                </c:pt>
                <c:pt idx="1">
                  <c:v>2500000</c:v>
                </c:pt>
                <c:pt idx="2">
                  <c:v>2500000</c:v>
                </c:pt>
                <c:pt idx="3">
                  <c:v>2500000</c:v>
                </c:pt>
                <c:pt idx="4">
                  <c:v>2500000</c:v>
                </c:pt>
                <c:pt idx="5">
                  <c:v>2500000</c:v>
                </c:pt>
                <c:pt idx="6">
                  <c:v>2500000</c:v>
                </c:pt>
                <c:pt idx="7">
                  <c:v>2500000</c:v>
                </c:pt>
                <c:pt idx="8">
                  <c:v>2500000</c:v>
                </c:pt>
                <c:pt idx="9">
                  <c:v>2500000</c:v>
                </c:pt>
                <c:pt idx="10">
                  <c:v>2500000</c:v>
                </c:pt>
                <c:pt idx="11">
                  <c:v>2500000</c:v>
                </c:pt>
                <c:pt idx="12">
                  <c:v>2500000</c:v>
                </c:pt>
                <c:pt idx="13">
                  <c:v>2500000</c:v>
                </c:pt>
                <c:pt idx="14">
                  <c:v>2500000</c:v>
                </c:pt>
                <c:pt idx="15">
                  <c:v>2500000</c:v>
                </c:pt>
                <c:pt idx="16">
                  <c:v>2500000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1-4925-97D1-2969604D1B4F}"/>
            </c:ext>
          </c:extLst>
        </c:ser>
        <c:ser>
          <c:idx val="1"/>
          <c:order val="1"/>
          <c:tx>
            <c:strRef>
              <c:f>'BDA AUGUST 2023 Q23'!$AS$7</c:f>
              <c:strCache>
                <c:ptCount val="1"/>
                <c:pt idx="0">
                  <c:v>TC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'BDA AUGUST 2023 Q23'!$AQ$8:$AQ$24</c:f>
              <c:numCache>
                <c:formatCode>General</c:formatCode>
                <c:ptCount val="17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  <c:pt idx="6">
                  <c:v>1500</c:v>
                </c:pt>
                <c:pt idx="7">
                  <c:v>1750</c:v>
                </c:pt>
                <c:pt idx="8">
                  <c:v>2000</c:v>
                </c:pt>
                <c:pt idx="9">
                  <c:v>2250</c:v>
                </c:pt>
                <c:pt idx="10">
                  <c:v>2500</c:v>
                </c:pt>
                <c:pt idx="11">
                  <c:v>2750</c:v>
                </c:pt>
                <c:pt idx="12">
                  <c:v>3000</c:v>
                </c:pt>
                <c:pt idx="13">
                  <c:v>3250</c:v>
                </c:pt>
                <c:pt idx="14">
                  <c:v>3500</c:v>
                </c:pt>
                <c:pt idx="15">
                  <c:v>3750</c:v>
                </c:pt>
                <c:pt idx="16">
                  <c:v>4000</c:v>
                </c:pt>
              </c:numCache>
            </c:numRef>
          </c:cat>
          <c:val>
            <c:numRef>
              <c:f>'BDA AUGUST 2023 Q23'!$AS$8:$AS$24</c:f>
              <c:numCache>
                <c:formatCode>_(* #,##0_);_(* \(#,##0\);_(* "-"??_);_(@_)</c:formatCode>
                <c:ptCount val="17"/>
                <c:pt idx="0">
                  <c:v>2500000</c:v>
                </c:pt>
                <c:pt idx="1">
                  <c:v>2937500</c:v>
                </c:pt>
                <c:pt idx="2">
                  <c:v>3375000</c:v>
                </c:pt>
                <c:pt idx="3">
                  <c:v>3812500</c:v>
                </c:pt>
                <c:pt idx="4">
                  <c:v>4250000</c:v>
                </c:pt>
                <c:pt idx="5">
                  <c:v>4687500</c:v>
                </c:pt>
                <c:pt idx="6">
                  <c:v>5125000</c:v>
                </c:pt>
                <c:pt idx="7">
                  <c:v>5562500</c:v>
                </c:pt>
                <c:pt idx="8">
                  <c:v>6000000</c:v>
                </c:pt>
                <c:pt idx="9">
                  <c:v>6437500</c:v>
                </c:pt>
                <c:pt idx="10">
                  <c:v>6875000</c:v>
                </c:pt>
                <c:pt idx="11">
                  <c:v>7312500</c:v>
                </c:pt>
                <c:pt idx="12">
                  <c:v>7750000</c:v>
                </c:pt>
                <c:pt idx="13">
                  <c:v>8187500</c:v>
                </c:pt>
                <c:pt idx="14">
                  <c:v>8625000</c:v>
                </c:pt>
                <c:pt idx="15">
                  <c:v>9062500</c:v>
                </c:pt>
                <c:pt idx="16">
                  <c:v>9500000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1-4925-97D1-2969604D1B4F}"/>
            </c:ext>
          </c:extLst>
        </c:ser>
        <c:ser>
          <c:idx val="2"/>
          <c:order val="2"/>
          <c:tx>
            <c:strRef>
              <c:f>'BDA AUGUST 2023 Q23'!$AT$7</c:f>
              <c:strCache>
                <c:ptCount val="1"/>
                <c:pt idx="0">
                  <c:v>TR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'BDA AUGUST 2023 Q23'!$AQ$8:$AQ$24</c:f>
              <c:numCache>
                <c:formatCode>General</c:formatCode>
                <c:ptCount val="17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  <c:pt idx="6">
                  <c:v>1500</c:v>
                </c:pt>
                <c:pt idx="7">
                  <c:v>1750</c:v>
                </c:pt>
                <c:pt idx="8">
                  <c:v>2000</c:v>
                </c:pt>
                <c:pt idx="9">
                  <c:v>2250</c:v>
                </c:pt>
                <c:pt idx="10">
                  <c:v>2500</c:v>
                </c:pt>
                <c:pt idx="11">
                  <c:v>2750</c:v>
                </c:pt>
                <c:pt idx="12">
                  <c:v>3000</c:v>
                </c:pt>
                <c:pt idx="13">
                  <c:v>3250</c:v>
                </c:pt>
                <c:pt idx="14">
                  <c:v>3500</c:v>
                </c:pt>
                <c:pt idx="15">
                  <c:v>3750</c:v>
                </c:pt>
                <c:pt idx="16">
                  <c:v>4000</c:v>
                </c:pt>
              </c:numCache>
            </c:numRef>
          </c:cat>
          <c:val>
            <c:numRef>
              <c:f>'BDA AUGUST 2023 Q23'!$AT$8:$AT$24</c:f>
              <c:numCache>
                <c:formatCode>_(* #,##0_);_(* \(#,##0\);_(* "-"??_);_(@_)</c:formatCode>
                <c:ptCount val="17"/>
                <c:pt idx="0">
                  <c:v>0</c:v>
                </c:pt>
                <c:pt idx="1">
                  <c:v>937500</c:v>
                </c:pt>
                <c:pt idx="2">
                  <c:v>1875000</c:v>
                </c:pt>
                <c:pt idx="3">
                  <c:v>2812500</c:v>
                </c:pt>
                <c:pt idx="4">
                  <c:v>3750000</c:v>
                </c:pt>
                <c:pt idx="5">
                  <c:v>4687500</c:v>
                </c:pt>
                <c:pt idx="6">
                  <c:v>5625000</c:v>
                </c:pt>
                <c:pt idx="7">
                  <c:v>6562500</c:v>
                </c:pt>
                <c:pt idx="8">
                  <c:v>7500000</c:v>
                </c:pt>
                <c:pt idx="9">
                  <c:v>8437500</c:v>
                </c:pt>
                <c:pt idx="10">
                  <c:v>9375000</c:v>
                </c:pt>
                <c:pt idx="11">
                  <c:v>10312500</c:v>
                </c:pt>
                <c:pt idx="12">
                  <c:v>11250000</c:v>
                </c:pt>
                <c:pt idx="13">
                  <c:v>12187500</c:v>
                </c:pt>
                <c:pt idx="14">
                  <c:v>13125000</c:v>
                </c:pt>
                <c:pt idx="15">
                  <c:v>14062500</c:v>
                </c:pt>
                <c:pt idx="1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31-4925-97D1-2969604D1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868560"/>
        <c:axId val="274862320"/>
      </c:lineChart>
      <c:catAx>
        <c:axId val="27486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units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4862320"/>
        <c:crosses val="autoZero"/>
        <c:auto val="1"/>
        <c:lblAlgn val="ctr"/>
        <c:lblOffset val="100"/>
        <c:noMultiLvlLbl val="0"/>
      </c:catAx>
      <c:valAx>
        <c:axId val="27486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TR, TC TFC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486856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A combo line and clustered graph showing summary of revenues from 2023-2027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'BDA AUGUST 2023 Q23'!$A$65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'BDA AUGUST 2023 Q23'!$B$64:$F$64</c:f>
              <c:numCache>
                <c:formatCode>General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'BDA AUGUST 2023 Q23'!$B$65:$F$65</c:f>
              <c:numCache>
                <c:formatCode>_(* #,##0_);_(* \(#,##0\);_(* "-"??_);_(@_)</c:formatCode>
                <c:ptCount val="5"/>
                <c:pt idx="0">
                  <c:v>25000000</c:v>
                </c:pt>
                <c:pt idx="1">
                  <c:v>28875000.000000004</c:v>
                </c:pt>
                <c:pt idx="2">
                  <c:v>33350625.000000007</c:v>
                </c:pt>
                <c:pt idx="3">
                  <c:v>38519971.875000007</c:v>
                </c:pt>
                <c:pt idx="4">
                  <c:v>44490567.515625022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6E-45AA-9B57-23D638E139B5}"/>
            </c:ext>
          </c:extLst>
        </c:ser>
        <c:ser>
          <c:idx val="2"/>
          <c:order val="1"/>
          <c:tx>
            <c:strRef>
              <c:f>'BDA AUGUST 2023 Q23'!$A$66</c:f>
              <c:strCache>
                <c:ptCount val="1"/>
                <c:pt idx="0">
                  <c:v>Gross Contribution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'BDA AUGUST 2023 Q23'!$B$64:$F$64</c:f>
              <c:numCache>
                <c:formatCode>General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'BDA AUGUST 2023 Q23'!$B$66:$F$66</c:f>
              <c:numCache>
                <c:formatCode>_(* #,##0_);_(* \(#,##0\);_(* "-"??_);_(@_)</c:formatCode>
                <c:ptCount val="5"/>
                <c:pt idx="0">
                  <c:v>8500000</c:v>
                </c:pt>
                <c:pt idx="1">
                  <c:v>8909999.9999999963</c:v>
                </c:pt>
                <c:pt idx="2">
                  <c:v>9192974.9999999963</c:v>
                </c:pt>
                <c:pt idx="3">
                  <c:v>9289215.3749999907</c:v>
                </c:pt>
                <c:pt idx="4">
                  <c:v>9121352.1506249886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6E-45AA-9B57-23D638E139B5}"/>
            </c:ext>
          </c:extLst>
        </c:ser>
        <c:ser>
          <c:idx val="3"/>
          <c:order val="2"/>
          <c:tx>
            <c:strRef>
              <c:f>'BDA AUGUST 2023 Q23'!$A$67</c:f>
              <c:strCache>
                <c:ptCount val="1"/>
                <c:pt idx="0">
                  <c:v>Net Contribution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'BDA AUGUST 2023 Q23'!$B$67:$F$67</c:f>
              <c:numCache>
                <c:formatCode>_(* #,##0_);_(* \(#,##0\);_(* "-"??_);_(@_)</c:formatCode>
                <c:ptCount val="5"/>
                <c:pt idx="0">
                  <c:v>7000000</c:v>
                </c:pt>
                <c:pt idx="1">
                  <c:v>7094999.9999999963</c:v>
                </c:pt>
                <c:pt idx="2">
                  <c:v>6996824.9999999953</c:v>
                </c:pt>
                <c:pt idx="3">
                  <c:v>6631873.8749999898</c:v>
                </c:pt>
                <c:pt idx="4">
                  <c:v>5905968.9356249869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6E-45AA-9B57-23D638E139B5}"/>
            </c:ext>
          </c:extLst>
        </c:ser>
        <c:ser>
          <c:idx val="4"/>
          <c:order val="3"/>
          <c:tx>
            <c:strRef>
              <c:f>'BDA AUGUST 2023 Q23'!$A$68</c:f>
              <c:strCache>
                <c:ptCount val="1"/>
                <c:pt idx="0">
                  <c:v>Net profit/Loss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'BDA AUGUST 2023 Q23'!$B$68:$F$68</c:f>
              <c:numCache>
                <c:formatCode>_(* #,##0_);_(* \(#,##0\);_(* "-"??_);_(@_)</c:formatCode>
                <c:ptCount val="5"/>
                <c:pt idx="0">
                  <c:v>-233000000</c:v>
                </c:pt>
                <c:pt idx="1">
                  <c:v>-244905000</c:v>
                </c:pt>
                <c:pt idx="2">
                  <c:v>-257603175</c:v>
                </c:pt>
                <c:pt idx="3">
                  <c:v>-271198126.125</c:v>
                </c:pt>
                <c:pt idx="4">
                  <c:v>-285815531.06437504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6E-45AA-9B57-23D638E13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284321343"/>
        <c:axId val="284334655"/>
      </c:barChart>
      <c:lineChart>
        <c:grouping val="standard"/>
        <c:varyColors val="0"/>
        <c:ser>
          <c:idx val="5"/>
          <c:order val="4"/>
          <c:tx>
            <c:strRef>
              <c:f>'BDA AUGUST 2023 Q23'!$A$69</c:f>
              <c:strCache>
                <c:ptCount val="1"/>
                <c:pt idx="0">
                  <c:v>BEP shillings  TFC/CMR OR TFC/  CM/R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'BDA AUGUST 2023 Q23'!$B$69:$F$69</c:f>
              <c:numCache>
                <c:formatCode>_(* #,##0_);_(* \(#,##0\);_(* "-"??_);_(@_)</c:formatCode>
                <c:ptCount val="5"/>
                <c:pt idx="0">
                  <c:v>857142857.14285707</c:v>
                </c:pt>
                <c:pt idx="1">
                  <c:v>1025581395.3488379</c:v>
                </c:pt>
                <c:pt idx="2">
                  <c:v>1261225680.9338531</c:v>
                </c:pt>
                <c:pt idx="3">
                  <c:v>1613722454.278621</c:v>
                </c:pt>
                <c:pt idx="4">
                  <c:v>2197582688.4595604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6E-45AA-9B57-23D638E13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839407"/>
        <c:axId val="282841487"/>
      </c:lineChart>
      <c:catAx>
        <c:axId val="284321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  <a:r>
                  <a:rPr lang="en-US" baseline="0"/>
                  <a:t> in years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34655"/>
        <c:crosses val="autoZero"/>
        <c:auto val="1"/>
        <c:lblAlgn val="ctr"/>
        <c:lblOffset val="100"/>
        <c:noMultiLvlLbl val="0"/>
      </c:catAx>
      <c:valAx>
        <c:axId val="284334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Revenues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21343"/>
        <c:crosses val="autoZero"/>
        <c:crossBetween val="between"/>
      </c:valAx>
      <c:valAx>
        <c:axId val="282841487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revenues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2839407"/>
        <c:crosses val="max"/>
        <c:crossBetween val="between"/>
      </c:valAx>
      <c:catAx>
        <c:axId val="282839407"/>
        <c:scaling>
          <c:orientation val="minMax"/>
        </c:scaling>
        <c:delete val="1"/>
        <c:axPos val="b"/>
        <c:majorTickMark val="out"/>
        <c:minorTickMark val="none"/>
        <c:tickLblPos val="nextTo"/>
        <c:crossAx val="282841487"/>
        <c:crosses val="autoZero"/>
        <c:auto val="1"/>
        <c:lblAlgn val="ctr"/>
        <c:lblOffset val="100"/>
        <c:noMultiLvlLbl val="0"/>
      </c:cat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Scattered graph</a:t>
            </a:r>
            <a:r>
              <a:rPr lang="en-US" baseline="0"/>
              <a:t> showing CVP/BEP in units and revenue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'BDA APRIL 2024 Q23'!$L$8</c:f>
              <c:strCache>
                <c:ptCount val="1"/>
                <c:pt idx="0">
                  <c:v>TC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'BDA APRIL 2024 Q23'!$K$9:$K$29</c:f>
              <c:numCache>
                <c:formatCode>_(* #,##0_);_(* \(#,##0\);_(* "-"??_);_(@_)</c:formatCode>
                <c:ptCount val="21"/>
                <c:pt idx="0">
                  <c:v>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  <c:pt idx="9">
                  <c:v>9000</c:v>
                </c:pt>
                <c:pt idx="10">
                  <c:v>10000</c:v>
                </c:pt>
                <c:pt idx="11">
                  <c:v>11000</c:v>
                </c:pt>
                <c:pt idx="12">
                  <c:v>12000</c:v>
                </c:pt>
                <c:pt idx="13">
                  <c:v>13000</c:v>
                </c:pt>
                <c:pt idx="14">
                  <c:v>14000</c:v>
                </c:pt>
                <c:pt idx="15">
                  <c:v>15000</c:v>
                </c:pt>
                <c:pt idx="16">
                  <c:v>16000</c:v>
                </c:pt>
                <c:pt idx="17">
                  <c:v>17000</c:v>
                </c:pt>
                <c:pt idx="18">
                  <c:v>18000</c:v>
                </c:pt>
                <c:pt idx="19">
                  <c:v>19000</c:v>
                </c:pt>
                <c:pt idx="20">
                  <c:v>20000</c:v>
                </c:pt>
              </c:numCache>
            </c:numRef>
          </c:xVal>
          <c:yVal>
            <c:numRef>
              <c:f>'BDA APRIL 2024 Q23'!$L$9:$L$29</c:f>
              <c:numCache>
                <c:formatCode>_-* #,##0_-;\-* #,##0_-;_-* "-"??_-;_-@_-</c:formatCode>
                <c:ptCount val="21"/>
                <c:pt idx="0">
                  <c:v>50000000</c:v>
                </c:pt>
                <c:pt idx="1">
                  <c:v>55000000</c:v>
                </c:pt>
                <c:pt idx="2">
                  <c:v>60000000</c:v>
                </c:pt>
                <c:pt idx="3">
                  <c:v>65000000</c:v>
                </c:pt>
                <c:pt idx="4">
                  <c:v>70000000</c:v>
                </c:pt>
                <c:pt idx="5">
                  <c:v>75000000</c:v>
                </c:pt>
                <c:pt idx="6">
                  <c:v>80000000</c:v>
                </c:pt>
                <c:pt idx="7">
                  <c:v>85000000</c:v>
                </c:pt>
                <c:pt idx="8">
                  <c:v>90000000</c:v>
                </c:pt>
                <c:pt idx="9">
                  <c:v>95000000</c:v>
                </c:pt>
                <c:pt idx="10">
                  <c:v>100000000</c:v>
                </c:pt>
                <c:pt idx="11">
                  <c:v>105000000</c:v>
                </c:pt>
                <c:pt idx="12">
                  <c:v>110000000</c:v>
                </c:pt>
                <c:pt idx="13">
                  <c:v>115000000</c:v>
                </c:pt>
                <c:pt idx="14">
                  <c:v>120000000</c:v>
                </c:pt>
                <c:pt idx="15">
                  <c:v>125000000</c:v>
                </c:pt>
                <c:pt idx="16">
                  <c:v>130000000</c:v>
                </c:pt>
                <c:pt idx="17">
                  <c:v>135000000</c:v>
                </c:pt>
                <c:pt idx="18">
                  <c:v>140000000</c:v>
                </c:pt>
                <c:pt idx="19">
                  <c:v>145000000</c:v>
                </c:pt>
                <c:pt idx="20">
                  <c:v>150000000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FC7-48E4-A073-F0949F95E80D}"/>
            </c:ext>
          </c:extLst>
        </c:ser>
        <c:ser>
          <c:idx val="1"/>
          <c:order val="1"/>
          <c:tx>
            <c:strRef>
              <c:f>'BDA APRIL 2024 Q23'!$M$8</c:f>
              <c:strCache>
                <c:ptCount val="1"/>
                <c:pt idx="0">
                  <c:v>TFC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'BDA APRIL 2024 Q23'!$K$9:$K$29</c:f>
              <c:numCache>
                <c:formatCode>_(* #,##0_);_(* \(#,##0\);_(* "-"??_);_(@_)</c:formatCode>
                <c:ptCount val="21"/>
                <c:pt idx="0">
                  <c:v>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  <c:pt idx="9">
                  <c:v>9000</c:v>
                </c:pt>
                <c:pt idx="10">
                  <c:v>10000</c:v>
                </c:pt>
                <c:pt idx="11">
                  <c:v>11000</c:v>
                </c:pt>
                <c:pt idx="12">
                  <c:v>12000</c:v>
                </c:pt>
                <c:pt idx="13">
                  <c:v>13000</c:v>
                </c:pt>
                <c:pt idx="14">
                  <c:v>14000</c:v>
                </c:pt>
                <c:pt idx="15">
                  <c:v>15000</c:v>
                </c:pt>
                <c:pt idx="16">
                  <c:v>16000</c:v>
                </c:pt>
                <c:pt idx="17">
                  <c:v>17000</c:v>
                </c:pt>
                <c:pt idx="18">
                  <c:v>18000</c:v>
                </c:pt>
                <c:pt idx="19">
                  <c:v>19000</c:v>
                </c:pt>
                <c:pt idx="20">
                  <c:v>20000</c:v>
                </c:pt>
              </c:numCache>
            </c:numRef>
          </c:xVal>
          <c:yVal>
            <c:numRef>
              <c:f>'BDA APRIL 2024 Q23'!$M$9:$M$29</c:f>
              <c:numCache>
                <c:formatCode>_-* #,##0_-;\-* #,##0_-;_-* "-"??_-;_-@_-</c:formatCode>
                <c:ptCount val="21"/>
                <c:pt idx="0">
                  <c:v>50000000</c:v>
                </c:pt>
                <c:pt idx="1">
                  <c:v>50000000</c:v>
                </c:pt>
                <c:pt idx="2">
                  <c:v>50000000</c:v>
                </c:pt>
                <c:pt idx="3">
                  <c:v>50000000</c:v>
                </c:pt>
                <c:pt idx="4">
                  <c:v>50000000</c:v>
                </c:pt>
                <c:pt idx="5">
                  <c:v>50000000</c:v>
                </c:pt>
                <c:pt idx="6">
                  <c:v>50000000</c:v>
                </c:pt>
                <c:pt idx="7">
                  <c:v>50000000</c:v>
                </c:pt>
                <c:pt idx="8">
                  <c:v>50000000</c:v>
                </c:pt>
                <c:pt idx="9">
                  <c:v>50000000</c:v>
                </c:pt>
                <c:pt idx="10">
                  <c:v>50000000</c:v>
                </c:pt>
                <c:pt idx="11">
                  <c:v>50000000</c:v>
                </c:pt>
                <c:pt idx="12">
                  <c:v>50000000</c:v>
                </c:pt>
                <c:pt idx="13">
                  <c:v>50000000</c:v>
                </c:pt>
                <c:pt idx="14">
                  <c:v>50000000</c:v>
                </c:pt>
                <c:pt idx="15">
                  <c:v>50000000</c:v>
                </c:pt>
                <c:pt idx="16">
                  <c:v>50000000</c:v>
                </c:pt>
                <c:pt idx="17">
                  <c:v>50000000</c:v>
                </c:pt>
                <c:pt idx="18">
                  <c:v>50000000</c:v>
                </c:pt>
                <c:pt idx="19">
                  <c:v>50000000</c:v>
                </c:pt>
                <c:pt idx="20">
                  <c:v>50000000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FC7-48E4-A073-F0949F95E80D}"/>
            </c:ext>
          </c:extLst>
        </c:ser>
        <c:ser>
          <c:idx val="2"/>
          <c:order val="2"/>
          <c:tx>
            <c:strRef>
              <c:f>'BDA APRIL 2024 Q23'!$N$8</c:f>
              <c:strCache>
                <c:ptCount val="1"/>
                <c:pt idx="0">
                  <c:v>TR</c:v>
                </c:pt>
              </c:strCache>
            </c:strRef>
          </c:tx>
          <c:spPr>
            <a:ln w="95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'BDA APRIL 2024 Q23'!$K$9:$K$29</c:f>
              <c:numCache>
                <c:formatCode>_(* #,##0_);_(* \(#,##0\);_(* "-"??_);_(@_)</c:formatCode>
                <c:ptCount val="21"/>
                <c:pt idx="0">
                  <c:v>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  <c:pt idx="9">
                  <c:v>9000</c:v>
                </c:pt>
                <c:pt idx="10">
                  <c:v>10000</c:v>
                </c:pt>
                <c:pt idx="11">
                  <c:v>11000</c:v>
                </c:pt>
                <c:pt idx="12">
                  <c:v>12000</c:v>
                </c:pt>
                <c:pt idx="13">
                  <c:v>13000</c:v>
                </c:pt>
                <c:pt idx="14">
                  <c:v>14000</c:v>
                </c:pt>
                <c:pt idx="15">
                  <c:v>15000</c:v>
                </c:pt>
                <c:pt idx="16">
                  <c:v>16000</c:v>
                </c:pt>
                <c:pt idx="17">
                  <c:v>17000</c:v>
                </c:pt>
                <c:pt idx="18">
                  <c:v>18000</c:v>
                </c:pt>
                <c:pt idx="19">
                  <c:v>19000</c:v>
                </c:pt>
                <c:pt idx="20">
                  <c:v>20000</c:v>
                </c:pt>
              </c:numCache>
            </c:numRef>
          </c:xVal>
          <c:yVal>
            <c:numRef>
              <c:f>'BDA APRIL 2024 Q23'!$N$9:$N$29</c:f>
              <c:numCache>
                <c:formatCode>_-* #,##0_-;\-* #,##0_-;_-* "-"??_-;_-@_-</c:formatCode>
                <c:ptCount val="21"/>
                <c:pt idx="0">
                  <c:v>0</c:v>
                </c:pt>
                <c:pt idx="1">
                  <c:v>10000000</c:v>
                </c:pt>
                <c:pt idx="2">
                  <c:v>20000000</c:v>
                </c:pt>
                <c:pt idx="3">
                  <c:v>30000000</c:v>
                </c:pt>
                <c:pt idx="4">
                  <c:v>40000000</c:v>
                </c:pt>
                <c:pt idx="5">
                  <c:v>50000000</c:v>
                </c:pt>
                <c:pt idx="6">
                  <c:v>60000000</c:v>
                </c:pt>
                <c:pt idx="7">
                  <c:v>70000000</c:v>
                </c:pt>
                <c:pt idx="8">
                  <c:v>80000000</c:v>
                </c:pt>
                <c:pt idx="9">
                  <c:v>90000000</c:v>
                </c:pt>
                <c:pt idx="10">
                  <c:v>100000000</c:v>
                </c:pt>
                <c:pt idx="11">
                  <c:v>110000000</c:v>
                </c:pt>
                <c:pt idx="12">
                  <c:v>120000000</c:v>
                </c:pt>
                <c:pt idx="13">
                  <c:v>130000000</c:v>
                </c:pt>
                <c:pt idx="14">
                  <c:v>140000000</c:v>
                </c:pt>
                <c:pt idx="15">
                  <c:v>150000000</c:v>
                </c:pt>
                <c:pt idx="16">
                  <c:v>160000000</c:v>
                </c:pt>
                <c:pt idx="17">
                  <c:v>170000000</c:v>
                </c:pt>
                <c:pt idx="18">
                  <c:v>180000000</c:v>
                </c:pt>
                <c:pt idx="19">
                  <c:v>190000000</c:v>
                </c:pt>
                <c:pt idx="20">
                  <c:v>200000000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FC7-48E4-A073-F0949F95E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3601503"/>
        <c:axId val="293600255"/>
      </c:scatterChart>
      <c:valAx>
        <c:axId val="2936015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Units produced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3600255"/>
        <c:crosses val="autoZero"/>
        <c:crossBetween val="midCat"/>
      </c:valAx>
      <c:valAx>
        <c:axId val="293600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 TC TFC in shs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360150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 clustereed colum showing</a:t>
            </a:r>
            <a:r>
              <a:rPr lang="en-US" baseline="0"/>
              <a:t> TR PAT plotted against Units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'BDA APRIL 2024 Q23'!$T$8</c:f>
              <c:strCache>
                <c:ptCount val="1"/>
                <c:pt idx="0">
                  <c:v>PAT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'BDA APRIL 2024 Q23'!$R$9:$R$29</c:f>
              <c:numCache>
                <c:formatCode>General</c:formatCode>
                <c:ptCount val="21"/>
                <c:pt idx="0">
                  <c:v>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  <c:pt idx="9">
                  <c:v>9000</c:v>
                </c:pt>
                <c:pt idx="10">
                  <c:v>10000</c:v>
                </c:pt>
                <c:pt idx="11">
                  <c:v>11000</c:v>
                </c:pt>
                <c:pt idx="12">
                  <c:v>12000</c:v>
                </c:pt>
                <c:pt idx="13">
                  <c:v>13000</c:v>
                </c:pt>
                <c:pt idx="14">
                  <c:v>14000</c:v>
                </c:pt>
                <c:pt idx="15">
                  <c:v>15000</c:v>
                </c:pt>
                <c:pt idx="16">
                  <c:v>16000</c:v>
                </c:pt>
                <c:pt idx="17">
                  <c:v>17000</c:v>
                </c:pt>
                <c:pt idx="18">
                  <c:v>18000</c:v>
                </c:pt>
                <c:pt idx="19">
                  <c:v>19000</c:v>
                </c:pt>
                <c:pt idx="20">
                  <c:v>20000</c:v>
                </c:pt>
              </c:numCache>
            </c:numRef>
          </c:cat>
          <c:val>
            <c:numRef>
              <c:f>'BDA APRIL 2024 Q23'!$T$9:$T$29</c:f>
              <c:numCache>
                <c:formatCode>_-* #,##0_-;\-* #,##0_-;_-* "-"??_-;_-@_-</c:formatCode>
                <c:ptCount val="21"/>
                <c:pt idx="0">
                  <c:v>-35000000</c:v>
                </c:pt>
                <c:pt idx="1">
                  <c:v>-31499999.999999996</c:v>
                </c:pt>
                <c:pt idx="2">
                  <c:v>-28000000</c:v>
                </c:pt>
                <c:pt idx="3">
                  <c:v>-24500000</c:v>
                </c:pt>
                <c:pt idx="4">
                  <c:v>-21000000</c:v>
                </c:pt>
                <c:pt idx="5">
                  <c:v>-17500000</c:v>
                </c:pt>
                <c:pt idx="6">
                  <c:v>-14000000</c:v>
                </c:pt>
                <c:pt idx="7">
                  <c:v>-10500000</c:v>
                </c:pt>
                <c:pt idx="8">
                  <c:v>-7000000</c:v>
                </c:pt>
                <c:pt idx="9">
                  <c:v>-3500000</c:v>
                </c:pt>
                <c:pt idx="10">
                  <c:v>0</c:v>
                </c:pt>
                <c:pt idx="11">
                  <c:v>3500000</c:v>
                </c:pt>
                <c:pt idx="12">
                  <c:v>7000000</c:v>
                </c:pt>
                <c:pt idx="13">
                  <c:v>10500000</c:v>
                </c:pt>
                <c:pt idx="14">
                  <c:v>14000000</c:v>
                </c:pt>
                <c:pt idx="15">
                  <c:v>17500000</c:v>
                </c:pt>
                <c:pt idx="16">
                  <c:v>21000000</c:v>
                </c:pt>
                <c:pt idx="17">
                  <c:v>24500000</c:v>
                </c:pt>
                <c:pt idx="18">
                  <c:v>28000000</c:v>
                </c:pt>
                <c:pt idx="19">
                  <c:v>31499999.999999996</c:v>
                </c:pt>
                <c:pt idx="20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5-4404-9DA9-11C8B475E1C1}"/>
            </c:ext>
          </c:extLst>
        </c:ser>
        <c:ser>
          <c:idx val="1"/>
          <c:order val="1"/>
          <c:tx>
            <c:v>TR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'BDA APRIL 2024 Q23'!$R$9:$R$29</c:f>
              <c:numCache>
                <c:formatCode>General</c:formatCode>
                <c:ptCount val="21"/>
                <c:pt idx="0">
                  <c:v>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  <c:pt idx="9">
                  <c:v>9000</c:v>
                </c:pt>
                <c:pt idx="10">
                  <c:v>10000</c:v>
                </c:pt>
                <c:pt idx="11">
                  <c:v>11000</c:v>
                </c:pt>
                <c:pt idx="12">
                  <c:v>12000</c:v>
                </c:pt>
                <c:pt idx="13">
                  <c:v>13000</c:v>
                </c:pt>
                <c:pt idx="14">
                  <c:v>14000</c:v>
                </c:pt>
                <c:pt idx="15">
                  <c:v>15000</c:v>
                </c:pt>
                <c:pt idx="16">
                  <c:v>16000</c:v>
                </c:pt>
                <c:pt idx="17">
                  <c:v>17000</c:v>
                </c:pt>
                <c:pt idx="18">
                  <c:v>18000</c:v>
                </c:pt>
                <c:pt idx="19">
                  <c:v>19000</c:v>
                </c:pt>
                <c:pt idx="20">
                  <c:v>20000</c:v>
                </c:pt>
              </c:numCache>
            </c:numRef>
          </c:cat>
          <c:val>
            <c:numRef>
              <c:f>'BDA APRIL 2024 Q23'!$S$9:$S$29</c:f>
              <c:numCache>
                <c:formatCode>_-* #,##0_-;\-* #,##0_-;_-* "-"??_-;_-@_-</c:formatCode>
                <c:ptCount val="21"/>
                <c:pt idx="0">
                  <c:v>0</c:v>
                </c:pt>
                <c:pt idx="1">
                  <c:v>10000000</c:v>
                </c:pt>
                <c:pt idx="2">
                  <c:v>20000000</c:v>
                </c:pt>
                <c:pt idx="3">
                  <c:v>30000000</c:v>
                </c:pt>
                <c:pt idx="4">
                  <c:v>40000000</c:v>
                </c:pt>
                <c:pt idx="5">
                  <c:v>50000000</c:v>
                </c:pt>
                <c:pt idx="6">
                  <c:v>60000000</c:v>
                </c:pt>
                <c:pt idx="7">
                  <c:v>70000000</c:v>
                </c:pt>
                <c:pt idx="8">
                  <c:v>80000000</c:v>
                </c:pt>
                <c:pt idx="9">
                  <c:v>90000000</c:v>
                </c:pt>
                <c:pt idx="10">
                  <c:v>100000000</c:v>
                </c:pt>
                <c:pt idx="11">
                  <c:v>110000000</c:v>
                </c:pt>
                <c:pt idx="12">
                  <c:v>120000000</c:v>
                </c:pt>
                <c:pt idx="13">
                  <c:v>130000000</c:v>
                </c:pt>
                <c:pt idx="14">
                  <c:v>140000000</c:v>
                </c:pt>
                <c:pt idx="15">
                  <c:v>150000000</c:v>
                </c:pt>
                <c:pt idx="16">
                  <c:v>160000000</c:v>
                </c:pt>
                <c:pt idx="17">
                  <c:v>170000000</c:v>
                </c:pt>
                <c:pt idx="18">
                  <c:v>180000000</c:v>
                </c:pt>
                <c:pt idx="19">
                  <c:v>190000000</c:v>
                </c:pt>
                <c:pt idx="20">
                  <c:v>200000000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95-4404-9DA9-11C8B475E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3096767"/>
        <c:axId val="223098847"/>
      </c:barChart>
      <c:catAx>
        <c:axId val="2230967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units produced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098847"/>
        <c:crosses val="autoZero"/>
        <c:auto val="1"/>
        <c:lblAlgn val="ctr"/>
        <c:lblOffset val="100"/>
        <c:noMultiLvlLbl val="0"/>
      </c:catAx>
      <c:valAx>
        <c:axId val="223098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PAT TR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096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 clustered column</a:t>
            </a:r>
            <a:r>
              <a:rPr lang="en-US" baseline="0"/>
              <a:t> and line graph showinh MOS, PAT and expected sales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'BDA APRIL 2024 Q23'!$E$25</c:f>
              <c:strCache>
                <c:ptCount val="1"/>
                <c:pt idx="0">
                  <c:v>Expected sales shs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'BDA APRIL 2024 Q23'!$D$26:$D$36</c:f>
              <c:numCache>
                <c:formatCode>_-* #,##0_-;\-* #,##0_-;_-* "-"??_-;_-@_-</c:formatCode>
                <c:ptCount val="11"/>
                <c:pt idx="0">
                  <c:v>10000</c:v>
                </c:pt>
                <c:pt idx="1">
                  <c:v>10500</c:v>
                </c:pt>
                <c:pt idx="2">
                  <c:v>11000</c:v>
                </c:pt>
                <c:pt idx="3">
                  <c:v>11500</c:v>
                </c:pt>
                <c:pt idx="4">
                  <c:v>12000</c:v>
                </c:pt>
                <c:pt idx="5">
                  <c:v>12500</c:v>
                </c:pt>
                <c:pt idx="6">
                  <c:v>13000</c:v>
                </c:pt>
                <c:pt idx="7">
                  <c:v>13500</c:v>
                </c:pt>
                <c:pt idx="8">
                  <c:v>14000</c:v>
                </c:pt>
                <c:pt idx="9">
                  <c:v>14500</c:v>
                </c:pt>
                <c:pt idx="10">
                  <c:v>15000</c:v>
                </c:pt>
              </c:numCache>
            </c:numRef>
          </c:cat>
          <c:val>
            <c:numRef>
              <c:f>'BDA APRIL 2024 Q23'!$E$26:$E$36</c:f>
              <c:numCache>
                <c:formatCode>_(* #,##0_);_(* \(#,##0\);_(* "-"??_);_(@_)</c:formatCode>
                <c:ptCount val="11"/>
                <c:pt idx="0">
                  <c:v>100000000</c:v>
                </c:pt>
                <c:pt idx="1">
                  <c:v>105000000</c:v>
                </c:pt>
                <c:pt idx="2">
                  <c:v>110000000</c:v>
                </c:pt>
                <c:pt idx="3">
                  <c:v>115000000</c:v>
                </c:pt>
                <c:pt idx="4">
                  <c:v>120000000</c:v>
                </c:pt>
                <c:pt idx="5">
                  <c:v>125000000</c:v>
                </c:pt>
                <c:pt idx="6">
                  <c:v>130000000</c:v>
                </c:pt>
                <c:pt idx="7">
                  <c:v>135000000</c:v>
                </c:pt>
                <c:pt idx="8">
                  <c:v>140000000</c:v>
                </c:pt>
                <c:pt idx="9">
                  <c:v>145000000</c:v>
                </c:pt>
                <c:pt idx="10">
                  <c:v>150000000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D1-491F-A2B0-E6A7B63AA401}"/>
            </c:ext>
          </c:extLst>
        </c:ser>
        <c:ser>
          <c:idx val="2"/>
          <c:order val="1"/>
          <c:tx>
            <c:strRef>
              <c:f>'BDA APRIL 2024 Q23'!$F$25</c:f>
              <c:strCache>
                <c:ptCount val="1"/>
                <c:pt idx="0">
                  <c:v>MOS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'BDA APRIL 2024 Q23'!$D$26:$D$36</c:f>
              <c:numCache>
                <c:formatCode>_-* #,##0_-;\-* #,##0_-;_-* "-"??_-;_-@_-</c:formatCode>
                <c:ptCount val="11"/>
                <c:pt idx="0">
                  <c:v>10000</c:v>
                </c:pt>
                <c:pt idx="1">
                  <c:v>10500</c:v>
                </c:pt>
                <c:pt idx="2">
                  <c:v>11000</c:v>
                </c:pt>
                <c:pt idx="3">
                  <c:v>11500</c:v>
                </c:pt>
                <c:pt idx="4">
                  <c:v>12000</c:v>
                </c:pt>
                <c:pt idx="5">
                  <c:v>12500</c:v>
                </c:pt>
                <c:pt idx="6">
                  <c:v>13000</c:v>
                </c:pt>
                <c:pt idx="7">
                  <c:v>13500</c:v>
                </c:pt>
                <c:pt idx="8">
                  <c:v>14000</c:v>
                </c:pt>
                <c:pt idx="9">
                  <c:v>14500</c:v>
                </c:pt>
                <c:pt idx="10">
                  <c:v>15000</c:v>
                </c:pt>
              </c:numCache>
            </c:numRef>
          </c:cat>
          <c:val>
            <c:numRef>
              <c:f>'BDA APRIL 2024 Q23'!$F$26:$F$36</c:f>
              <c:numCache>
                <c:formatCode>_(* #,##0_);_(* \(#,##0\);_(* "-"??_);_(@_)</c:formatCode>
                <c:ptCount val="11"/>
                <c:pt idx="0">
                  <c:v>0</c:v>
                </c:pt>
                <c:pt idx="1">
                  <c:v>5000000</c:v>
                </c:pt>
                <c:pt idx="2">
                  <c:v>10000000</c:v>
                </c:pt>
                <c:pt idx="3">
                  <c:v>15000000</c:v>
                </c:pt>
                <c:pt idx="4">
                  <c:v>20000000</c:v>
                </c:pt>
                <c:pt idx="5">
                  <c:v>25000000</c:v>
                </c:pt>
                <c:pt idx="6">
                  <c:v>30000000</c:v>
                </c:pt>
                <c:pt idx="7">
                  <c:v>35000000</c:v>
                </c:pt>
                <c:pt idx="8">
                  <c:v>40000000</c:v>
                </c:pt>
                <c:pt idx="9">
                  <c:v>45000000</c:v>
                </c:pt>
                <c:pt idx="10">
                  <c:v>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D1-491F-A2B0-E6A7B63AA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33875567"/>
        <c:axId val="533885135"/>
      </c:barChart>
      <c:lineChart>
        <c:grouping val="standard"/>
        <c:varyColors val="0"/>
        <c:ser>
          <c:idx val="6"/>
          <c:order val="2"/>
          <c:tx>
            <c:strRef>
              <c:f>'BDA APRIL 2024 Q23'!$J$25</c:f>
              <c:strCache>
                <c:ptCount val="1"/>
                <c:pt idx="0">
                  <c:v> Target profit after tax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'BDA APRIL 2024 Q23'!$J$26:$J$36</c:f>
              <c:numCache>
                <c:formatCode>_(* #,##0.00_);_(* \(#,##0.00\);_(* "-"??_);_(@_)</c:formatCode>
                <c:ptCount val="11"/>
                <c:pt idx="0">
                  <c:v>0.7</c:v>
                </c:pt>
                <c:pt idx="1">
                  <c:v>1750000</c:v>
                </c:pt>
                <c:pt idx="2">
                  <c:v>3500000</c:v>
                </c:pt>
                <c:pt idx="3">
                  <c:v>5250000</c:v>
                </c:pt>
                <c:pt idx="4">
                  <c:v>7000000</c:v>
                </c:pt>
                <c:pt idx="5">
                  <c:v>8750000</c:v>
                </c:pt>
                <c:pt idx="6">
                  <c:v>10500000</c:v>
                </c:pt>
                <c:pt idx="7">
                  <c:v>12250000</c:v>
                </c:pt>
                <c:pt idx="8">
                  <c:v>14000000</c:v>
                </c:pt>
                <c:pt idx="9">
                  <c:v>15749999.999999998</c:v>
                </c:pt>
                <c:pt idx="10">
                  <c:v>17500000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D1-491F-A2B0-E6A7B63AA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157279"/>
        <c:axId val="441156031"/>
      </c:lineChart>
      <c:catAx>
        <c:axId val="5338755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Expected sales above BEP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885135"/>
        <c:crosses val="autoZero"/>
        <c:auto val="1"/>
        <c:lblAlgn val="ctr"/>
        <c:lblOffset val="100"/>
        <c:noMultiLvlLbl val="0"/>
      </c:catAx>
      <c:valAx>
        <c:axId val="53388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MOS PAT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875567"/>
        <c:crosses val="autoZero"/>
        <c:crossBetween val="between"/>
      </c:valAx>
      <c:valAx>
        <c:axId val="44115603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MOS PAT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1157279"/>
        <c:crosses val="max"/>
        <c:crossBetween val="between"/>
      </c:valAx>
      <c:catAx>
        <c:axId val="441157279"/>
        <c:scaling>
          <c:orientation val="minMax"/>
        </c:scaling>
        <c:delete val="1"/>
        <c:axPos val="b"/>
        <c:majorTickMark val="out"/>
        <c:minorTickMark val="none"/>
        <c:tickLblPos val="nextTo"/>
        <c:crossAx val="4411560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ustomXml" Target="../ink/ink1.xml"/><Relationship Id="rId1" Type="http://schemas.openxmlformats.org/officeDocument/2006/relationships/chart" Target="../charts/chart4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Relationship Id="rId9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81</xdr:row>
      <xdr:rowOff>84666</xdr:rowOff>
    </xdr:from>
    <xdr:to>
      <xdr:col>8</xdr:col>
      <xdr:colOff>1714500</xdr:colOff>
      <xdr:row>101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C9604B5-CA48-4B2E-B02C-894EC3A462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225777</xdr:colOff>
      <xdr:row>35</xdr:row>
      <xdr:rowOff>201789</xdr:rowOff>
    </xdr:from>
    <xdr:to>
      <xdr:col>15</xdr:col>
      <xdr:colOff>112888</xdr:colOff>
      <xdr:row>50</xdr:row>
      <xdr:rowOff>150989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CA681A8-7834-4F4A-B46E-30CFA90B09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135</xdr:row>
      <xdr:rowOff>82550</xdr:rowOff>
    </xdr:from>
    <xdr:to>
      <xdr:col>12</xdr:col>
      <xdr:colOff>2203449</xdr:colOff>
      <xdr:row>154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7F7BF1-DE54-421D-8D58-786CD6B6E9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358774</xdr:colOff>
      <xdr:row>2</xdr:row>
      <xdr:rowOff>19050</xdr:rowOff>
    </xdr:from>
    <xdr:to>
      <xdr:col>57</xdr:col>
      <xdr:colOff>6350</xdr:colOff>
      <xdr:row>25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2F798E-593E-4705-90E5-B395719E96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51</xdr:col>
      <xdr:colOff>571270</xdr:colOff>
      <xdr:row>1</xdr:row>
      <xdr:rowOff>171170</xdr:rowOff>
    </xdr:from>
    <xdr:to>
      <xdr:col>51</xdr:col>
      <xdr:colOff>571630</xdr:colOff>
      <xdr:row>1</xdr:row>
      <xdr:rowOff>171530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150" name="Ink 149">
              <a:extLst>
                <a:ext uri="{FF2B5EF4-FFF2-40B4-BE49-F238E27FC236}">
                  <a16:creationId xmlns:a16="http://schemas.microsoft.com/office/drawing/2014/main" id="{74135AE7-DFEC-4C25-B83C-4E16E4936139}"/>
                </a:ext>
              </a:extLst>
            </xdr14:cNvPr>
            <xdr14:cNvContentPartPr/>
          </xdr14:nvContentPartPr>
          <xdr14:nvPr macro=""/>
          <xdr14:xfrm>
            <a:off x="25006070" y="355320"/>
            <a:ext cx="360" cy="360"/>
          </xdr14:xfrm>
        </xdr:contentPart>
      </mc:Choice>
      <mc:Fallback xmlns="">
        <xdr:pic>
          <xdr:nvPicPr>
            <xdr:cNvPr id="150" name="Ink 149">
              <a:extLst>
                <a:ext uri="{FF2B5EF4-FFF2-40B4-BE49-F238E27FC236}">
                  <a16:creationId xmlns:a16="http://schemas.microsoft.com/office/drawing/2014/main" id="{74135AE7-DFEC-4C25-B83C-4E16E4936139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24997070" y="3463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53</xdr:col>
      <xdr:colOff>95250</xdr:colOff>
      <xdr:row>11</xdr:row>
      <xdr:rowOff>101600</xdr:rowOff>
    </xdr:from>
    <xdr:to>
      <xdr:col>54</xdr:col>
      <xdr:colOff>495300</xdr:colOff>
      <xdr:row>13</xdr:row>
      <xdr:rowOff>0</xdr:rowOff>
    </xdr:to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70E30ECA-CF54-47C2-A101-318206301797}"/>
            </a:ext>
          </a:extLst>
        </xdr:cNvPr>
        <xdr:cNvSpPr txBox="1"/>
      </xdr:nvSpPr>
      <xdr:spPr>
        <a:xfrm rot="20123938">
          <a:off x="25749250" y="2127250"/>
          <a:ext cx="100965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Profit region</a:t>
          </a:r>
        </a:p>
      </xdr:txBody>
    </xdr:sp>
    <xdr:clientData/>
  </xdr:twoCellAnchor>
  <xdr:twoCellAnchor>
    <xdr:from>
      <xdr:col>47</xdr:col>
      <xdr:colOff>421770</xdr:colOff>
      <xdr:row>19</xdr:row>
      <xdr:rowOff>98092</xdr:rowOff>
    </xdr:from>
    <xdr:to>
      <xdr:col>49</xdr:col>
      <xdr:colOff>110620</xdr:colOff>
      <xdr:row>20</xdr:row>
      <xdr:rowOff>130848</xdr:rowOff>
    </xdr:to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16C3F16-EBA4-4FCC-AC38-011F9646446C}"/>
            </a:ext>
          </a:extLst>
        </xdr:cNvPr>
        <xdr:cNvSpPr txBox="1"/>
      </xdr:nvSpPr>
      <xdr:spPr>
        <a:xfrm rot="20057419">
          <a:off x="22418170" y="3596942"/>
          <a:ext cx="908050" cy="2169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loss region</a:t>
          </a:r>
        </a:p>
      </xdr:txBody>
    </xdr:sp>
    <xdr:clientData/>
  </xdr:twoCellAnchor>
  <xdr:twoCellAnchor>
    <xdr:from>
      <xdr:col>0</xdr:col>
      <xdr:colOff>381000</xdr:colOff>
      <xdr:row>72</xdr:row>
      <xdr:rowOff>114300</xdr:rowOff>
    </xdr:from>
    <xdr:to>
      <xdr:col>6</xdr:col>
      <xdr:colOff>57150</xdr:colOff>
      <xdr:row>90</xdr:row>
      <xdr:rowOff>82550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153DB9A-4B5D-46D6-9617-6667A69661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790574</xdr:colOff>
      <xdr:row>29</xdr:row>
      <xdr:rowOff>107950</xdr:rowOff>
    </xdr:from>
    <xdr:to>
      <xdr:col>16</xdr:col>
      <xdr:colOff>374650</xdr:colOff>
      <xdr:row>50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8C5015-1969-4204-8B2C-79C05DA666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13</xdr:col>
      <xdr:colOff>196850</xdr:colOff>
      <xdr:row>35</xdr:row>
      <xdr:rowOff>139700</xdr:rowOff>
    </xdr:from>
    <xdr:ext cx="996950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2FEACA2-DCDE-45D6-95C9-77DDB0BB9460}"/>
            </a:ext>
          </a:extLst>
        </xdr:cNvPr>
        <xdr:cNvSpPr txBox="1"/>
      </xdr:nvSpPr>
      <xdr:spPr>
        <a:xfrm>
          <a:off x="16852900" y="8331200"/>
          <a:ext cx="996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profit region</a:t>
          </a:r>
        </a:p>
      </xdr:txBody>
    </xdr:sp>
    <xdr:clientData/>
  </xdr:oneCellAnchor>
  <xdr:twoCellAnchor>
    <xdr:from>
      <xdr:col>10</xdr:col>
      <xdr:colOff>1117600</xdr:colOff>
      <xdr:row>41</xdr:row>
      <xdr:rowOff>63500</xdr:rowOff>
    </xdr:from>
    <xdr:to>
      <xdr:col>11</xdr:col>
      <xdr:colOff>209550</xdr:colOff>
      <xdr:row>42</xdr:row>
      <xdr:rowOff>127000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D152F7E-A206-49F5-9211-8E1899CE4712}"/>
            </a:ext>
          </a:extLst>
        </xdr:cNvPr>
        <xdr:cNvSpPr txBox="1"/>
      </xdr:nvSpPr>
      <xdr:spPr>
        <a:xfrm>
          <a:off x="13665200" y="9321800"/>
          <a:ext cx="927100" cy="241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loss region</a:t>
          </a:r>
        </a:p>
      </xdr:txBody>
    </xdr:sp>
    <xdr:clientData/>
  </xdr:twoCellAnchor>
  <xdr:twoCellAnchor>
    <xdr:from>
      <xdr:col>16</xdr:col>
      <xdr:colOff>574674</xdr:colOff>
      <xdr:row>29</xdr:row>
      <xdr:rowOff>114300</xdr:rowOff>
    </xdr:from>
    <xdr:to>
      <xdr:col>23</xdr:col>
      <xdr:colOff>247650</xdr:colOff>
      <xdr:row>49</xdr:row>
      <xdr:rowOff>165100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AA5B8D7-EB84-4863-B119-26213345A9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177800</xdr:colOff>
      <xdr:row>36</xdr:row>
      <xdr:rowOff>63500</xdr:rowOff>
    </xdr:from>
    <xdr:to>
      <xdr:col>7</xdr:col>
      <xdr:colOff>476250</xdr:colOff>
      <xdr:row>55</xdr:row>
      <xdr:rowOff>146050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1F732EAC-D9F3-49C9-BEEF-C21B53B5CA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0.14839</cdr:x>
      <cdr:y>0.52131</cdr:y>
    </cdr:from>
    <cdr:to>
      <cdr:x>0.46495</cdr:x>
      <cdr:y>0.52131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0B042F67-B069-4421-BDF0-D47FB95F0E67}"/>
            </a:ext>
          </a:extLst>
        </cdr:cNvPr>
        <cdr:cNvCxnSpPr/>
      </cdr:nvCxnSpPr>
      <cdr:spPr>
        <a:xfrm xmlns:a="http://schemas.openxmlformats.org/drawingml/2006/main">
          <a:off x="1095376" y="2019300"/>
          <a:ext cx="2336800" cy="0"/>
        </a:xfrm>
        <a:prstGeom xmlns:a="http://schemas.openxmlformats.org/drawingml/2006/main" prst="straightConnector1">
          <a:avLst/>
        </a:prstGeom>
        <a:ln xmlns:a="http://schemas.openxmlformats.org/drawingml/2006/main" w="9525" cap="flat" cmpd="sng" algn="ctr">
          <a:solidFill>
            <a:schemeClr val="accent6"/>
          </a:solidFill>
          <a:prstDash val="solid"/>
          <a:round/>
          <a:headEnd type="arrow" w="med" len="med"/>
          <a:tailEnd type="arrow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0.46925</cdr:x>
      <cdr:y>0.51803</cdr:y>
    </cdr:from>
    <cdr:to>
      <cdr:x>0.47011</cdr:x>
      <cdr:y>0.79508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CCC5D531-12AB-4CF4-A322-9E54CFAE26E3}"/>
            </a:ext>
          </a:extLst>
        </cdr:cNvPr>
        <cdr:cNvCxnSpPr/>
      </cdr:nvCxnSpPr>
      <cdr:spPr>
        <a:xfrm xmlns:a="http://schemas.openxmlformats.org/drawingml/2006/main" flipV="1">
          <a:off x="3463926" y="2006600"/>
          <a:ext cx="6350" cy="107315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133350</xdr:colOff>
      <xdr:row>15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66951F-FAAD-4B0D-B20C-F29A0F8C1A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67" t="33333" r="20570" b="25391"/>
        <a:stretch/>
      </xdr:blipFill>
      <xdr:spPr bwMode="auto">
        <a:xfrm>
          <a:off x="0" y="0"/>
          <a:ext cx="6838950" cy="301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111289</xdr:rowOff>
    </xdr:from>
    <xdr:to>
      <xdr:col>11</xdr:col>
      <xdr:colOff>171450</xdr:colOff>
      <xdr:row>32</xdr:row>
      <xdr:rowOff>76201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6B58CA-96CF-4D44-B362-1604D5061E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01" t="29167" r="23207" b="28256"/>
        <a:stretch/>
      </xdr:blipFill>
      <xdr:spPr bwMode="auto">
        <a:xfrm>
          <a:off x="0" y="2968789"/>
          <a:ext cx="6877050" cy="3203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24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E44AEA-1C8F-4527-BB65-B7B2D0E1B0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453" t="26042" r="21961" b="9896"/>
        <a:stretch/>
      </xdr:blipFill>
      <xdr:spPr bwMode="auto">
        <a:xfrm>
          <a:off x="0" y="0"/>
          <a:ext cx="7581900" cy="461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352426</xdr:colOff>
      <xdr:row>23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BE3909-5402-471D-B081-D21337B54E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77" t="28385" r="21962" b="10807"/>
        <a:stretch/>
      </xdr:blipFill>
      <xdr:spPr bwMode="auto">
        <a:xfrm>
          <a:off x="0" y="0"/>
          <a:ext cx="6448426" cy="444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76200</xdr:rowOff>
    </xdr:from>
    <xdr:to>
      <xdr:col>3</xdr:col>
      <xdr:colOff>381000</xdr:colOff>
      <xdr:row>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6D4736-7EA9-46BC-87E0-4473FBFDB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6200"/>
          <a:ext cx="185737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466725</xdr:colOff>
      <xdr:row>5</xdr:row>
      <xdr:rowOff>38100</xdr:rowOff>
    </xdr:from>
    <xdr:to>
      <xdr:col>5</xdr:col>
      <xdr:colOff>581025</xdr:colOff>
      <xdr:row>10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1D744D-CEA9-48B0-8199-17D62F41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90600"/>
          <a:ext cx="316230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400050</xdr:colOff>
      <xdr:row>11</xdr:row>
      <xdr:rowOff>152400</xdr:rowOff>
    </xdr:from>
    <xdr:to>
      <xdr:col>4</xdr:col>
      <xdr:colOff>523875</xdr:colOff>
      <xdr:row>15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747423-3F68-4FE0-BE3F-C923DF44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247900"/>
          <a:ext cx="256222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219075</xdr:colOff>
      <xdr:row>18</xdr:row>
      <xdr:rowOff>127072</xdr:rowOff>
    </xdr:from>
    <xdr:to>
      <xdr:col>3</xdr:col>
      <xdr:colOff>413905</xdr:colOff>
      <xdr:row>20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A0A787-302C-4717-8566-17773ED0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56072"/>
          <a:ext cx="194830" cy="330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123825</xdr:colOff>
      <xdr:row>16</xdr:row>
      <xdr:rowOff>169069</xdr:rowOff>
    </xdr:from>
    <xdr:to>
      <xdr:col>4</xdr:col>
      <xdr:colOff>329478</xdr:colOff>
      <xdr:row>18</xdr:row>
      <xdr:rowOff>85725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8FFD13E-DAFA-4690-A4AA-5DDC480F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3217069"/>
          <a:ext cx="205653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333375</xdr:colOff>
      <xdr:row>21</xdr:row>
      <xdr:rowOff>180974</xdr:rowOff>
    </xdr:from>
    <xdr:to>
      <xdr:col>2</xdr:col>
      <xdr:colOff>9525</xdr:colOff>
      <xdr:row>23</xdr:row>
      <xdr:rowOff>38099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3623CDB-B9AE-4716-B9E9-7B91C65C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4181474"/>
          <a:ext cx="2857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304800</xdr:colOff>
      <xdr:row>22</xdr:row>
      <xdr:rowOff>9525</xdr:rowOff>
    </xdr:from>
    <xdr:to>
      <xdr:col>2</xdr:col>
      <xdr:colOff>548337</xdr:colOff>
      <xdr:row>23</xdr:row>
      <xdr:rowOff>9524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8E719ED-FE2E-4FC1-9CA7-B89CCF026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200525"/>
          <a:ext cx="243537" cy="190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200026</xdr:colOff>
      <xdr:row>22</xdr:row>
      <xdr:rowOff>47624</xdr:rowOff>
    </xdr:from>
    <xdr:to>
      <xdr:col>3</xdr:col>
      <xdr:colOff>530154</xdr:colOff>
      <xdr:row>23</xdr:row>
      <xdr:rowOff>95249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9C9FC4E-EE55-4E75-92D7-C7262F7F1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6" y="4238624"/>
          <a:ext cx="330128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123826</xdr:colOff>
      <xdr:row>22</xdr:row>
      <xdr:rowOff>38099</xdr:rowOff>
    </xdr:from>
    <xdr:to>
      <xdr:col>4</xdr:col>
      <xdr:colOff>464778</xdr:colOff>
      <xdr:row>23</xdr:row>
      <xdr:rowOff>57150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E1F3491-5AAB-4B09-B8E4-9B4894709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6" y="4229099"/>
          <a:ext cx="340952" cy="209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8-04T18:21:05.10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652EE-78CE-4D09-8B35-B623722FB12D}">
  <dimension ref="A1:I22"/>
  <sheetViews>
    <sheetView topLeftCell="A4" workbookViewId="0">
      <selection activeCell="E21" sqref="E21"/>
    </sheetView>
  </sheetViews>
  <sheetFormatPr defaultColWidth="8.6328125" defaultRowHeight="14.5" x14ac:dyDescent="0.35"/>
  <cols>
    <col min="1" max="1" width="22.54296875" bestFit="1" customWidth="1"/>
    <col min="2" max="2" width="11.81640625" bestFit="1" customWidth="1"/>
    <col min="3" max="3" width="13.54296875" bestFit="1" customWidth="1"/>
    <col min="4" max="5" width="11.81640625" bestFit="1" customWidth="1"/>
    <col min="6" max="6" width="12.453125" bestFit="1" customWidth="1"/>
    <col min="7" max="7" width="11.81640625" bestFit="1" customWidth="1"/>
    <col min="8" max="9" width="12" bestFit="1" customWidth="1"/>
  </cols>
  <sheetData>
    <row r="1" spans="1:9" x14ac:dyDescent="0.35">
      <c r="A1" t="s">
        <v>323</v>
      </c>
    </row>
    <row r="2" spans="1:9" ht="15" thickBot="1" x14ac:dyDescent="0.4"/>
    <row r="3" spans="1:9" x14ac:dyDescent="0.35">
      <c r="A3" s="118" t="s">
        <v>324</v>
      </c>
      <c r="B3" s="118"/>
    </row>
    <row r="4" spans="1:9" x14ac:dyDescent="0.35">
      <c r="A4" s="115" t="s">
        <v>325</v>
      </c>
      <c r="B4" s="115">
        <v>0.97848637755853984</v>
      </c>
    </row>
    <row r="5" spans="1:9" x14ac:dyDescent="0.35">
      <c r="A5" s="115" t="s">
        <v>326</v>
      </c>
      <c r="B5" s="115">
        <v>0.95743559106763343</v>
      </c>
    </row>
    <row r="6" spans="1:9" x14ac:dyDescent="0.35">
      <c r="A6" s="115" t="s">
        <v>327</v>
      </c>
      <c r="B6" s="115">
        <v>0.95317915017439669</v>
      </c>
    </row>
    <row r="7" spans="1:9" x14ac:dyDescent="0.35">
      <c r="A7" s="115" t="s">
        <v>328</v>
      </c>
      <c r="B7" s="115">
        <v>1683999.3304983587</v>
      </c>
    </row>
    <row r="8" spans="1:9" ht="15" thickBot="1" x14ac:dyDescent="0.4">
      <c r="A8" s="116" t="s">
        <v>329</v>
      </c>
      <c r="B8" s="116">
        <v>12</v>
      </c>
    </row>
    <row r="10" spans="1:9" ht="15" thickBot="1" x14ac:dyDescent="0.4">
      <c r="A10" t="s">
        <v>321</v>
      </c>
    </row>
    <row r="11" spans="1:9" x14ac:dyDescent="0.35">
      <c r="A11" s="117"/>
      <c r="B11" s="117" t="s">
        <v>333</v>
      </c>
      <c r="C11" s="117" t="s">
        <v>334</v>
      </c>
      <c r="D11" s="117" t="s">
        <v>335</v>
      </c>
      <c r="E11" s="117" t="s">
        <v>336</v>
      </c>
      <c r="F11" s="117" t="s">
        <v>337</v>
      </c>
    </row>
    <row r="12" spans="1:9" x14ac:dyDescent="0.35">
      <c r="A12" s="115" t="s">
        <v>330</v>
      </c>
      <c r="B12" s="115">
        <v>1</v>
      </c>
      <c r="C12" s="115">
        <v>637891462548810.75</v>
      </c>
      <c r="D12" s="115">
        <v>637891462548810.75</v>
      </c>
      <c r="E12" s="115">
        <v>224.9380679968956</v>
      </c>
      <c r="F12" s="115">
        <v>3.5009191442982453E-8</v>
      </c>
    </row>
    <row r="13" spans="1:9" x14ac:dyDescent="0.35">
      <c r="A13" s="115" t="s">
        <v>331</v>
      </c>
      <c r="B13" s="115">
        <v>10</v>
      </c>
      <c r="C13" s="115">
        <v>28358537451189.203</v>
      </c>
      <c r="D13" s="115">
        <v>2835853745118.9204</v>
      </c>
      <c r="E13" s="115"/>
      <c r="F13" s="115"/>
    </row>
    <row r="14" spans="1:9" ht="15" thickBot="1" x14ac:dyDescent="0.4">
      <c r="A14" s="116" t="s">
        <v>332</v>
      </c>
      <c r="B14" s="116">
        <v>11</v>
      </c>
      <c r="C14" s="116">
        <v>666250000000000</v>
      </c>
      <c r="D14" s="116"/>
      <c r="E14" s="116"/>
      <c r="F14" s="116"/>
    </row>
    <row r="15" spans="1:9" ht="15" thickBot="1" x14ac:dyDescent="0.4">
      <c r="B15" t="s">
        <v>372</v>
      </c>
    </row>
    <row r="16" spans="1:9" x14ac:dyDescent="0.35">
      <c r="A16" s="117"/>
      <c r="B16" s="117" t="s">
        <v>338</v>
      </c>
      <c r="C16" s="117" t="s">
        <v>328</v>
      </c>
      <c r="D16" s="117" t="s">
        <v>339</v>
      </c>
      <c r="E16" s="117" t="s">
        <v>340</v>
      </c>
      <c r="F16" s="117" t="s">
        <v>341</v>
      </c>
      <c r="G16" s="117" t="s">
        <v>342</v>
      </c>
      <c r="H16" s="117" t="s">
        <v>370</v>
      </c>
      <c r="I16" s="117" t="s">
        <v>371</v>
      </c>
    </row>
    <row r="17" spans="1:9" x14ac:dyDescent="0.35">
      <c r="A17" s="115" t="s">
        <v>299</v>
      </c>
      <c r="B17" s="115">
        <v>3977635.7827476077</v>
      </c>
      <c r="C17" s="115">
        <v>1373881.0301029747</v>
      </c>
      <c r="D17" s="115">
        <v>2.8951821122746537</v>
      </c>
      <c r="E17" s="115">
        <v>1.5964811851493566E-2</v>
      </c>
      <c r="F17" s="115">
        <v>916438.08156824531</v>
      </c>
      <c r="G17" s="115">
        <v>7038833.4839269705</v>
      </c>
      <c r="H17" s="115">
        <v>1487529.8283175081</v>
      </c>
      <c r="I17" s="115">
        <v>6467741.7371777073</v>
      </c>
    </row>
    <row r="18" spans="1:9" ht="15" thickBot="1" x14ac:dyDescent="0.4">
      <c r="A18" s="116" t="s">
        <v>300</v>
      </c>
      <c r="B18" s="116">
        <v>95.172168974085892</v>
      </c>
      <c r="C18" s="116">
        <v>6.3456846605157828</v>
      </c>
      <c r="D18" s="116">
        <v>14.997935457818702</v>
      </c>
      <c r="E18" s="116">
        <v>3.5009191442982579E-8</v>
      </c>
      <c r="F18" s="116">
        <v>81.033102439537345</v>
      </c>
      <c r="G18" s="116">
        <v>109.31123550863444</v>
      </c>
      <c r="H18" s="116">
        <v>83.670862229278626</v>
      </c>
      <c r="I18" s="116">
        <v>106.67347571889316</v>
      </c>
    </row>
    <row r="19" spans="1:9" x14ac:dyDescent="0.35">
      <c r="C19" t="s">
        <v>372</v>
      </c>
      <c r="D19" s="117" t="s">
        <v>341</v>
      </c>
      <c r="E19" s="117" t="s">
        <v>342</v>
      </c>
    </row>
    <row r="20" spans="1:9" x14ac:dyDescent="0.35">
      <c r="B20">
        <v>100000</v>
      </c>
      <c r="C20">
        <f>$B$17+$B$18*B20</f>
        <v>13494852.680156197</v>
      </c>
      <c r="D20">
        <f>$F$17+$F$18*B20</f>
        <v>9019748.3255219795</v>
      </c>
      <c r="E20">
        <f>$G$17+$G$18*B20</f>
        <v>17969957.034790415</v>
      </c>
    </row>
    <row r="21" spans="1:9" x14ac:dyDescent="0.35">
      <c r="B21">
        <v>150000</v>
      </c>
      <c r="C21">
        <f t="shared" ref="C21:C22" si="0">$B$17+$B$18*B21</f>
        <v>18253461.128860492</v>
      </c>
      <c r="D21">
        <f t="shared" ref="D21:D22" si="1">$F$17+$F$18*B21</f>
        <v>13071403.447498847</v>
      </c>
      <c r="E21">
        <f t="shared" ref="E21:E22" si="2">$G$17+$G$18*B21</f>
        <v>23435518.810222134</v>
      </c>
    </row>
    <row r="22" spans="1:9" x14ac:dyDescent="0.35">
      <c r="B22">
        <v>250000</v>
      </c>
      <c r="C22">
        <f t="shared" si="0"/>
        <v>27770678.026269082</v>
      </c>
      <c r="D22">
        <f t="shared" si="1"/>
        <v>21174713.691452581</v>
      </c>
      <c r="E22">
        <f t="shared" si="2"/>
        <v>34366642.361085579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66189-AD2F-4F6C-91ED-F117CDBED4F8}">
  <dimension ref="A1"/>
  <sheetViews>
    <sheetView topLeftCell="A19" workbookViewId="0">
      <selection activeCell="N13" sqref="N1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A436-D311-4C5E-BFF5-67B8220AF9B1}">
  <dimension ref="A1"/>
  <sheetViews>
    <sheetView topLeftCell="A10" workbookViewId="0">
      <selection activeCell="N8" sqref="N8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9E45-A1A0-4594-AB3B-EBDE1E717BAB}">
  <dimension ref="A1"/>
  <sheetViews>
    <sheetView workbookViewId="0">
      <selection activeCell="M7" sqref="M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D3D4F-4BB6-4DBE-819B-6589D4A4493F}">
  <dimension ref="A1:N33"/>
  <sheetViews>
    <sheetView workbookViewId="0">
      <selection activeCell="I8" sqref="I8"/>
    </sheetView>
  </sheetViews>
  <sheetFormatPr defaultColWidth="9.1796875" defaultRowHeight="15.5" x14ac:dyDescent="0.35"/>
  <cols>
    <col min="1" max="1" width="36" style="1" customWidth="1"/>
    <col min="2" max="2" width="17.36328125" style="16" hidden="1" customWidth="1"/>
    <col min="3" max="3" width="14.54296875" style="16" hidden="1" customWidth="1"/>
    <col min="4" max="4" width="17.90625" style="16" customWidth="1"/>
    <col min="5" max="5" width="25.36328125" style="16" customWidth="1"/>
    <col min="6" max="6" width="14.54296875" style="16" customWidth="1"/>
    <col min="7" max="7" width="12.6328125" style="16" customWidth="1"/>
    <col min="8" max="13" width="14.54296875" style="16" customWidth="1"/>
    <col min="14" max="14" width="12.7265625" style="16" bestFit="1" customWidth="1"/>
    <col min="15" max="18" width="9.1796875" style="1"/>
    <col min="19" max="19" width="14.36328125" style="1" bestFit="1" customWidth="1"/>
    <col min="20" max="16384" width="9.1796875" style="1"/>
  </cols>
  <sheetData>
    <row r="1" spans="1:14" x14ac:dyDescent="0.35">
      <c r="A1" s="86" t="s">
        <v>158</v>
      </c>
    </row>
    <row r="2" spans="1:14" x14ac:dyDescent="0.35">
      <c r="A2" s="86" t="s">
        <v>159</v>
      </c>
      <c r="D2" s="16" t="s">
        <v>478</v>
      </c>
    </row>
    <row r="3" spans="1:14" x14ac:dyDescent="0.35">
      <c r="A3" s="86"/>
      <c r="B3" s="143" t="s">
        <v>481</v>
      </c>
      <c r="C3" s="143" t="s">
        <v>482</v>
      </c>
      <c r="D3" s="16" t="s">
        <v>480</v>
      </c>
    </row>
    <row r="4" spans="1:14" x14ac:dyDescent="0.35">
      <c r="B4" s="16" t="s">
        <v>160</v>
      </c>
      <c r="C4" s="16" t="s">
        <v>479</v>
      </c>
      <c r="D4" s="143" t="s">
        <v>477</v>
      </c>
      <c r="E4" s="143" t="s">
        <v>43</v>
      </c>
      <c r="F4" s="143" t="s">
        <v>484</v>
      </c>
      <c r="N4" s="16" t="s">
        <v>161</v>
      </c>
    </row>
    <row r="5" spans="1:14" x14ac:dyDescent="0.35">
      <c r="A5" s="1" t="s">
        <v>162</v>
      </c>
      <c r="B5" s="16">
        <v>640000</v>
      </c>
      <c r="C5" s="142">
        <f>$E$5/$B$5</f>
        <v>1.125</v>
      </c>
      <c r="D5" s="143">
        <f>B5*C5</f>
        <v>720000</v>
      </c>
      <c r="E5" s="16">
        <v>720000</v>
      </c>
      <c r="N5" s="16">
        <v>80000</v>
      </c>
    </row>
    <row r="6" spans="1:14" x14ac:dyDescent="0.35">
      <c r="C6" s="142"/>
      <c r="D6" s="16">
        <f t="shared" ref="D6:D21" si="0">B6*C6</f>
        <v>0</v>
      </c>
    </row>
    <row r="7" spans="1:14" x14ac:dyDescent="0.35">
      <c r="B7" s="16" t="s">
        <v>163</v>
      </c>
      <c r="C7" s="142"/>
      <c r="E7" s="16" t="s">
        <v>163</v>
      </c>
      <c r="I7" s="1"/>
      <c r="N7" s="16" t="s">
        <v>163</v>
      </c>
    </row>
    <row r="8" spans="1:14" x14ac:dyDescent="0.35">
      <c r="A8" s="1" t="s">
        <v>164</v>
      </c>
      <c r="B8" s="16">
        <v>1024000</v>
      </c>
      <c r="C8" s="142">
        <f t="shared" ref="C8:C21" si="1">720000/640000</f>
        <v>1.125</v>
      </c>
      <c r="D8" s="16">
        <f t="shared" si="0"/>
        <v>1152000</v>
      </c>
      <c r="E8" s="16">
        <v>1071000</v>
      </c>
      <c r="F8" s="16">
        <f>E8-D8</f>
        <v>-81000</v>
      </c>
      <c r="G8" s="16" t="str">
        <f>IF(F8&lt;0,"Adverse","Favourable")</f>
        <v>Adverse</v>
      </c>
      <c r="H8" s="16" t="str">
        <f t="shared" ref="H8:H21" si="2">IF(ISBLANK(F8)," ",IF(F8&lt;0,"Adverse",IF(F8&gt;=0,"Favourable","")))</f>
        <v>Adverse</v>
      </c>
      <c r="I8" s="1" t="str">
        <f>IF(ISBLANK(F8)," ",IF(F8&lt;0,"Adverse","Favourable"))</f>
        <v>Adverse</v>
      </c>
      <c r="N8" s="16">
        <v>47000</v>
      </c>
    </row>
    <row r="9" spans="1:14" x14ac:dyDescent="0.35">
      <c r="A9" s="1" t="s">
        <v>165</v>
      </c>
      <c r="C9" s="142"/>
      <c r="H9" s="16" t="str">
        <f t="shared" si="2"/>
        <v xml:space="preserve"> </v>
      </c>
      <c r="I9" s="1" t="str">
        <f>IF(ISBLANK(F9)," ",IF(F9&lt;0,"Adverse","Favourable"))</f>
        <v xml:space="preserve"> </v>
      </c>
    </row>
    <row r="10" spans="1:14" x14ac:dyDescent="0.35">
      <c r="A10" s="1" t="s">
        <v>166</v>
      </c>
      <c r="B10" s="16">
        <v>168000</v>
      </c>
      <c r="C10" s="142">
        <f t="shared" si="1"/>
        <v>1.125</v>
      </c>
      <c r="D10" s="16">
        <f t="shared" si="0"/>
        <v>189000</v>
      </c>
      <c r="E10" s="16">
        <v>144000</v>
      </c>
      <c r="F10" s="16">
        <f>D10-E10</f>
        <v>45000</v>
      </c>
      <c r="G10" s="16" t="str">
        <f>IF(F10&lt;0,"Adverse","Favourable")</f>
        <v>Favourable</v>
      </c>
      <c r="H10" s="16" t="str">
        <f t="shared" si="2"/>
        <v>Favourable</v>
      </c>
      <c r="I10" s="1" t="str">
        <f t="shared" ref="I10:I21" si="3">IF(ISBLANK(F10)," ",IF(F10&lt;0,"Adverse","Favourable"))</f>
        <v>Favourable</v>
      </c>
      <c r="N10" s="16">
        <v>24000</v>
      </c>
    </row>
    <row r="11" spans="1:14" x14ac:dyDescent="0.35">
      <c r="A11" s="1" t="s">
        <v>167</v>
      </c>
      <c r="B11" s="16">
        <v>240000</v>
      </c>
      <c r="C11" s="142">
        <f t="shared" si="1"/>
        <v>1.125</v>
      </c>
      <c r="D11" s="16">
        <f t="shared" si="0"/>
        <v>270000</v>
      </c>
      <c r="E11" s="16">
        <v>288000</v>
      </c>
      <c r="F11" s="16">
        <f>D11-E11</f>
        <v>-18000</v>
      </c>
      <c r="G11" s="16" t="str">
        <f>IF(F11&lt;0,"Adverse","Favourable")</f>
        <v>Adverse</v>
      </c>
      <c r="H11" s="16" t="str">
        <f t="shared" si="2"/>
        <v>Adverse</v>
      </c>
      <c r="I11" s="1" t="str">
        <f t="shared" si="3"/>
        <v>Adverse</v>
      </c>
      <c r="N11" s="16">
        <v>-48000</v>
      </c>
    </row>
    <row r="12" spans="1:14" x14ac:dyDescent="0.35">
      <c r="A12" s="1" t="s">
        <v>168</v>
      </c>
      <c r="B12" s="16">
        <v>32000</v>
      </c>
      <c r="C12" s="142">
        <f t="shared" si="1"/>
        <v>1.125</v>
      </c>
      <c r="D12" s="16">
        <f t="shared" si="0"/>
        <v>36000</v>
      </c>
      <c r="E12" s="16">
        <v>36000</v>
      </c>
      <c r="F12" s="16">
        <f>D12-E12</f>
        <v>0</v>
      </c>
      <c r="G12" s="16" t="str">
        <f>IF(F12&lt;0,"Adverse","Favourable")</f>
        <v>Favourable</v>
      </c>
      <c r="H12" s="16" t="str">
        <f t="shared" si="2"/>
        <v>Favourable</v>
      </c>
      <c r="I12" s="1" t="str">
        <f t="shared" si="3"/>
        <v>Favourable</v>
      </c>
      <c r="N12" s="16">
        <v>-4000</v>
      </c>
    </row>
    <row r="13" spans="1:14" x14ac:dyDescent="0.35">
      <c r="A13" s="1" t="s">
        <v>169</v>
      </c>
      <c r="B13" s="16">
        <v>440000</v>
      </c>
      <c r="C13" s="142"/>
      <c r="D13" s="16">
        <f>B13</f>
        <v>440000</v>
      </c>
      <c r="E13" s="16">
        <v>468000</v>
      </c>
      <c r="F13" s="16">
        <f>D13-E13</f>
        <v>-28000</v>
      </c>
      <c r="G13" s="16" t="str">
        <f>IF(F13&lt;0,"Adverse","Favourable")</f>
        <v>Adverse</v>
      </c>
      <c r="H13" s="16" t="str">
        <f t="shared" si="2"/>
        <v>Adverse</v>
      </c>
      <c r="I13" s="1" t="str">
        <f t="shared" si="3"/>
        <v>Adverse</v>
      </c>
      <c r="N13" s="16">
        <v>-28000</v>
      </c>
    </row>
    <row r="14" spans="1:14" x14ac:dyDescent="0.35">
      <c r="A14" s="2" t="s">
        <v>483</v>
      </c>
      <c r="B14" s="143">
        <f>(B8-B10-B11-B12-B13)</f>
        <v>144000</v>
      </c>
      <c r="C14" s="143"/>
      <c r="D14" s="143">
        <f>(D8-D10-D11-D12-D13)</f>
        <v>217000</v>
      </c>
      <c r="E14" s="143">
        <f>(E8-E10-E11-E12-E13)</f>
        <v>135000</v>
      </c>
      <c r="H14" s="16" t="str">
        <f t="shared" si="2"/>
        <v xml:space="preserve"> </v>
      </c>
      <c r="I14" s="1" t="str">
        <f t="shared" si="3"/>
        <v xml:space="preserve"> </v>
      </c>
      <c r="N14" s="16">
        <f t="shared" ref="N14" si="4">(N8-N10-N11-N12-N13)</f>
        <v>103000</v>
      </c>
    </row>
    <row r="15" spans="1:14" x14ac:dyDescent="0.35">
      <c r="A15" s="2" t="s">
        <v>170</v>
      </c>
      <c r="C15" s="142"/>
      <c r="H15" s="16" t="str">
        <f t="shared" si="2"/>
        <v xml:space="preserve"> </v>
      </c>
      <c r="I15" s="1" t="str">
        <f t="shared" si="3"/>
        <v xml:space="preserve"> </v>
      </c>
    </row>
    <row r="16" spans="1:14" x14ac:dyDescent="0.35">
      <c r="A16" s="1" t="s">
        <v>171</v>
      </c>
      <c r="B16" s="16">
        <v>100000</v>
      </c>
      <c r="C16" s="142"/>
      <c r="D16" s="16">
        <f>B16</f>
        <v>100000</v>
      </c>
      <c r="E16" s="16">
        <v>94000</v>
      </c>
      <c r="F16" s="16">
        <f>D16-E16</f>
        <v>6000</v>
      </c>
      <c r="G16" s="16" t="str">
        <f>IF(F16&lt;0,"Adverse","Favourable")</f>
        <v>Favourable</v>
      </c>
      <c r="H16" s="16" t="str">
        <f t="shared" si="2"/>
        <v>Favourable</v>
      </c>
      <c r="I16" s="1" t="str">
        <f t="shared" si="3"/>
        <v>Favourable</v>
      </c>
      <c r="N16" s="16">
        <v>6000</v>
      </c>
    </row>
    <row r="17" spans="1:14" x14ac:dyDescent="0.35">
      <c r="A17" s="1" t="s">
        <v>172</v>
      </c>
      <c r="B17" s="16">
        <v>72000</v>
      </c>
      <c r="C17" s="142">
        <f t="shared" si="1"/>
        <v>1.125</v>
      </c>
      <c r="D17" s="16">
        <f t="shared" si="0"/>
        <v>81000</v>
      </c>
      <c r="E17" s="16">
        <v>83000</v>
      </c>
      <c r="F17" s="16">
        <f>D17-E17</f>
        <v>-2000</v>
      </c>
      <c r="G17" s="16" t="str">
        <f>IF(F17&lt;0,"Adverse","Favourable")</f>
        <v>Adverse</v>
      </c>
      <c r="H17" s="16" t="str">
        <f t="shared" si="2"/>
        <v>Adverse</v>
      </c>
      <c r="I17" s="1" t="str">
        <f t="shared" si="3"/>
        <v>Adverse</v>
      </c>
      <c r="N17" s="16">
        <v>-11000</v>
      </c>
    </row>
    <row r="18" spans="1:14" x14ac:dyDescent="0.35">
      <c r="C18" s="142"/>
      <c r="H18" s="16" t="str">
        <f t="shared" si="2"/>
        <v xml:space="preserve"> </v>
      </c>
      <c r="I18" s="1" t="str">
        <f t="shared" si="3"/>
        <v xml:space="preserve"> </v>
      </c>
      <c r="N18" s="16">
        <f t="shared" ref="N18" si="5">(N14-N16-N17)</f>
        <v>108000</v>
      </c>
    </row>
    <row r="19" spans="1:14" x14ac:dyDescent="0.35">
      <c r="A19" s="2" t="s">
        <v>173</v>
      </c>
      <c r="C19" s="142"/>
      <c r="H19" s="16" t="str">
        <f t="shared" si="2"/>
        <v xml:space="preserve"> </v>
      </c>
      <c r="I19" s="1" t="str">
        <f t="shared" si="3"/>
        <v xml:space="preserve"> </v>
      </c>
    </row>
    <row r="20" spans="1:14" x14ac:dyDescent="0.35">
      <c r="A20" s="1" t="s">
        <v>171</v>
      </c>
      <c r="B20" s="16">
        <v>144000</v>
      </c>
      <c r="C20" s="142"/>
      <c r="D20" s="16">
        <f>B20</f>
        <v>144000</v>
      </c>
      <c r="E20" s="16">
        <v>153000</v>
      </c>
      <c r="F20" s="16">
        <f>D20-E20</f>
        <v>-9000</v>
      </c>
      <c r="G20" s="16" t="str">
        <f>IF(F20&lt;0,"Adverse","Favourable")</f>
        <v>Adverse</v>
      </c>
      <c r="H20" s="16" t="str">
        <f t="shared" si="2"/>
        <v>Adverse</v>
      </c>
      <c r="I20" s="1" t="str">
        <f t="shared" si="3"/>
        <v>Adverse</v>
      </c>
      <c r="N20" s="16">
        <v>-9000</v>
      </c>
    </row>
    <row r="21" spans="1:14" x14ac:dyDescent="0.35">
      <c r="A21" s="1" t="s">
        <v>174</v>
      </c>
      <c r="B21" s="16">
        <v>184000</v>
      </c>
      <c r="C21" s="142">
        <f t="shared" si="1"/>
        <v>1.125</v>
      </c>
      <c r="D21" s="16">
        <f t="shared" si="0"/>
        <v>207000</v>
      </c>
      <c r="E21" s="16">
        <v>176000</v>
      </c>
      <c r="F21" s="16">
        <f>D21-E21</f>
        <v>31000</v>
      </c>
      <c r="G21" s="16" t="str">
        <f>IF(F21&lt;0,"Adverse","Favourable")</f>
        <v>Favourable</v>
      </c>
      <c r="H21" s="16" t="str">
        <f t="shared" si="2"/>
        <v>Favourable</v>
      </c>
      <c r="I21" s="1" t="str">
        <f t="shared" si="3"/>
        <v>Favourable</v>
      </c>
      <c r="N21" s="16">
        <v>8000</v>
      </c>
    </row>
    <row r="22" spans="1:14" x14ac:dyDescent="0.35">
      <c r="A22" s="2" t="s">
        <v>447</v>
      </c>
      <c r="B22" s="143">
        <f>B14-B16-B17-B20-B21</f>
        <v>-356000</v>
      </c>
      <c r="C22" s="143"/>
      <c r="D22" s="143">
        <f t="shared" ref="D22:E22" si="6">D14-D16-D17-D20-D21</f>
        <v>-315000</v>
      </c>
      <c r="E22" s="143">
        <f t="shared" si="6"/>
        <v>-371000</v>
      </c>
      <c r="F22" s="16">
        <f>SUM(F8:F21)</f>
        <v>-56000</v>
      </c>
      <c r="N22" s="16">
        <f t="shared" ref="N22" si="7">(N18-N20-N21)</f>
        <v>109000</v>
      </c>
    </row>
    <row r="23" spans="1:14" x14ac:dyDescent="0.35">
      <c r="A23" s="32"/>
    </row>
    <row r="24" spans="1:14" x14ac:dyDescent="0.35">
      <c r="A24" s="87" t="s">
        <v>175</v>
      </c>
    </row>
    <row r="25" spans="1:14" x14ac:dyDescent="0.35">
      <c r="A25" s="86" t="s">
        <v>176</v>
      </c>
    </row>
    <row r="28" spans="1:14" x14ac:dyDescent="0.35">
      <c r="A28" s="86"/>
      <c r="E28" s="143" t="s">
        <v>485</v>
      </c>
    </row>
    <row r="29" spans="1:14" x14ac:dyDescent="0.35">
      <c r="A29" s="86"/>
    </row>
    <row r="30" spans="1:14" x14ac:dyDescent="0.35">
      <c r="E30" s="16" t="s">
        <v>486</v>
      </c>
      <c r="G30" s="16">
        <f>D22</f>
        <v>-315000</v>
      </c>
    </row>
    <row r="31" spans="1:14" x14ac:dyDescent="0.35">
      <c r="E31" s="143" t="s">
        <v>487</v>
      </c>
    </row>
    <row r="32" spans="1:14" x14ac:dyDescent="0.35">
      <c r="E32" s="16" t="s">
        <v>488</v>
      </c>
      <c r="G32" s="16">
        <f>F22</f>
        <v>-56000</v>
      </c>
    </row>
    <row r="33" spans="5:7" x14ac:dyDescent="0.35">
      <c r="E33" s="16" t="s">
        <v>489</v>
      </c>
      <c r="G33" s="143">
        <f>SUM(G30:G32)</f>
        <v>-371000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2A53-C4ED-4A9D-8881-28181276C519}">
  <dimension ref="A1:AJ64"/>
  <sheetViews>
    <sheetView topLeftCell="P19" workbookViewId="0">
      <selection activeCell="X31" sqref="X31"/>
    </sheetView>
  </sheetViews>
  <sheetFormatPr defaultRowHeight="15.5" x14ac:dyDescent="0.35"/>
  <cols>
    <col min="4" max="4" width="11.08984375" customWidth="1"/>
    <col min="5" max="5" width="15.36328125" customWidth="1"/>
    <col min="6" max="9" width="13.36328125" customWidth="1"/>
    <col min="10" max="10" width="13.1796875" bestFit="1" customWidth="1"/>
    <col min="11" max="11" width="11" bestFit="1" customWidth="1"/>
    <col min="12" max="12" width="11.54296875" bestFit="1" customWidth="1"/>
    <col min="13" max="13" width="11.36328125" customWidth="1"/>
    <col min="14" max="14" width="11" bestFit="1" customWidth="1"/>
    <col min="15" max="15" width="10" bestFit="1" customWidth="1"/>
    <col min="18" max="18" width="11" bestFit="1" customWidth="1"/>
    <col min="19" max="19" width="10" bestFit="1" customWidth="1"/>
    <col min="23" max="23" width="27.7265625" style="1" bestFit="1" customWidth="1"/>
    <col min="24" max="24" width="14.36328125" customWidth="1"/>
    <col min="25" max="26" width="12.54296875" bestFit="1" customWidth="1"/>
    <col min="27" max="27" width="12.54296875" style="99" bestFit="1" customWidth="1"/>
    <col min="28" max="28" width="13.6328125" bestFit="1" customWidth="1"/>
    <col min="29" max="29" width="12.54296875" bestFit="1" customWidth="1"/>
    <col min="30" max="30" width="13.36328125" customWidth="1"/>
    <col min="31" max="31" width="12.90625" style="99" customWidth="1"/>
    <col min="32" max="32" width="13.6328125" bestFit="1" customWidth="1"/>
    <col min="33" max="34" width="12.54296875" bestFit="1" customWidth="1"/>
    <col min="35" max="35" width="12.54296875" style="99" bestFit="1" customWidth="1"/>
    <col min="36" max="36" width="18.81640625" bestFit="1" customWidth="1"/>
  </cols>
  <sheetData>
    <row r="1" spans="1:36" x14ac:dyDescent="0.35">
      <c r="A1" s="2" t="s">
        <v>17</v>
      </c>
      <c r="B1" s="2"/>
      <c r="C1" s="2"/>
      <c r="D1" s="1"/>
      <c r="E1" s="1"/>
      <c r="F1" s="1"/>
      <c r="G1" s="1"/>
      <c r="H1" s="1"/>
      <c r="I1" s="1"/>
      <c r="J1" s="1"/>
      <c r="K1" s="1"/>
    </row>
    <row r="2" spans="1:36" x14ac:dyDescent="0.35">
      <c r="A2" s="1" t="s">
        <v>177</v>
      </c>
      <c r="B2" s="1"/>
      <c r="C2" s="1"/>
      <c r="D2" s="1"/>
      <c r="E2" s="1"/>
      <c r="F2" s="1"/>
      <c r="G2" s="1"/>
      <c r="H2" s="1"/>
      <c r="I2" s="1"/>
      <c r="J2" s="1"/>
      <c r="K2" s="1"/>
      <c r="Y2" t="s">
        <v>527</v>
      </c>
    </row>
    <row r="3" spans="1:36" x14ac:dyDescent="0.35">
      <c r="A3" s="1" t="s">
        <v>178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36" x14ac:dyDescent="0.35">
      <c r="A4" s="1" t="s">
        <v>179</v>
      </c>
      <c r="B4" s="1"/>
      <c r="C4" s="1"/>
      <c r="D4" s="1"/>
      <c r="E4" s="1"/>
      <c r="F4" s="1"/>
      <c r="G4" s="1"/>
      <c r="H4" s="1"/>
      <c r="I4" s="1"/>
      <c r="J4" s="1"/>
      <c r="K4" s="1"/>
      <c r="W4" s="161" t="s">
        <v>528</v>
      </c>
      <c r="X4" s="162" t="s">
        <v>98</v>
      </c>
      <c r="Y4" s="162" t="s">
        <v>221</v>
      </c>
      <c r="Z4" s="162" t="s">
        <v>529</v>
      </c>
      <c r="AA4" s="163" t="s">
        <v>101</v>
      </c>
      <c r="AB4" s="162" t="s">
        <v>102</v>
      </c>
      <c r="AC4" s="162" t="s">
        <v>103</v>
      </c>
      <c r="AD4" s="162" t="s">
        <v>104</v>
      </c>
      <c r="AE4" s="163" t="s">
        <v>268</v>
      </c>
      <c r="AF4" s="162" t="s">
        <v>219</v>
      </c>
      <c r="AG4" s="162" t="s">
        <v>107</v>
      </c>
      <c r="AH4" s="162" t="s">
        <v>220</v>
      </c>
      <c r="AI4" s="163" t="s">
        <v>109</v>
      </c>
      <c r="AJ4" s="162" t="s">
        <v>561</v>
      </c>
    </row>
    <row r="5" spans="1:3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W5" s="161" t="s">
        <v>530</v>
      </c>
      <c r="X5" s="124"/>
      <c r="Y5" s="124"/>
      <c r="Z5" s="124"/>
      <c r="AA5" s="172"/>
      <c r="AB5" s="124"/>
      <c r="AC5" s="124"/>
      <c r="AD5" s="124"/>
      <c r="AE5" s="172"/>
      <c r="AF5" s="124"/>
      <c r="AG5" s="124"/>
      <c r="AH5" s="124"/>
      <c r="AI5" s="172"/>
      <c r="AJ5" s="122"/>
    </row>
    <row r="6" spans="1:36" x14ac:dyDescent="0.35">
      <c r="A6" s="1" t="s">
        <v>180</v>
      </c>
      <c r="B6" s="1"/>
      <c r="C6" s="1"/>
      <c r="D6" s="1"/>
      <c r="E6" s="1"/>
      <c r="F6" s="1"/>
      <c r="G6" s="1"/>
      <c r="H6" s="1"/>
      <c r="I6" s="1"/>
      <c r="J6" s="1"/>
      <c r="K6" s="1"/>
      <c r="W6" s="164" t="s">
        <v>540</v>
      </c>
      <c r="X6" s="124">
        <f>J17</f>
        <v>7719000</v>
      </c>
      <c r="Y6" s="124">
        <f>K17</f>
        <v>7558000</v>
      </c>
      <c r="Z6" s="124">
        <f>L17</f>
        <v>1608000</v>
      </c>
      <c r="AA6" s="172"/>
      <c r="AB6" s="124">
        <f>N17</f>
        <v>10131000</v>
      </c>
      <c r="AC6" s="124">
        <f>O17</f>
        <v>6754000</v>
      </c>
      <c r="AD6" s="124"/>
      <c r="AE6" s="172"/>
      <c r="AF6" s="124">
        <f>R17</f>
        <v>10131000</v>
      </c>
      <c r="AG6" s="124">
        <f>S17</f>
        <v>6754000</v>
      </c>
      <c r="AH6" s="124"/>
      <c r="AI6" s="172"/>
      <c r="AJ6" s="171">
        <f>SUM(X6:AI6)</f>
        <v>50655000</v>
      </c>
    </row>
    <row r="7" spans="1:36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W7" s="164" t="s">
        <v>541</v>
      </c>
      <c r="X7" s="124">
        <f>16000*430</f>
        <v>6880000</v>
      </c>
      <c r="Y7" s="124"/>
      <c r="Z7" s="124"/>
      <c r="AA7" s="172"/>
      <c r="AB7" s="124">
        <f>16000*430</f>
        <v>6880000</v>
      </c>
      <c r="AC7" s="124"/>
      <c r="AD7" s="124"/>
      <c r="AE7" s="172"/>
      <c r="AF7" s="124">
        <f>16000*430</f>
        <v>6880000</v>
      </c>
      <c r="AG7" s="124"/>
      <c r="AH7" s="124"/>
      <c r="AI7" s="172"/>
      <c r="AJ7" s="171">
        <f t="shared" ref="AJ7:AJ11" si="0">SUM(X7:AI7)</f>
        <v>20640000</v>
      </c>
    </row>
    <row r="8" spans="1:36" x14ac:dyDescent="0.35">
      <c r="A8" s="1" t="s">
        <v>181</v>
      </c>
      <c r="B8" s="87"/>
      <c r="C8" s="20"/>
      <c r="D8" s="1"/>
      <c r="E8" s="1"/>
      <c r="F8" s="1"/>
      <c r="G8" s="1"/>
      <c r="H8" s="1"/>
      <c r="I8" s="1"/>
      <c r="J8" s="1"/>
      <c r="K8" s="1"/>
      <c r="W8" s="164" t="s">
        <v>542</v>
      </c>
      <c r="X8" s="124">
        <v>2500000</v>
      </c>
      <c r="Y8" s="124">
        <v>2500000</v>
      </c>
      <c r="Z8" s="124">
        <v>2500000</v>
      </c>
      <c r="AA8" s="172">
        <f>60%*Z8</f>
        <v>1500000</v>
      </c>
      <c r="AB8" s="124">
        <v>2500000</v>
      </c>
      <c r="AC8" s="124">
        <v>2500000</v>
      </c>
      <c r="AD8" s="124">
        <v>2500000</v>
      </c>
      <c r="AE8" s="172">
        <f>60%*AD8</f>
        <v>1500000</v>
      </c>
      <c r="AF8" s="124">
        <v>2500000</v>
      </c>
      <c r="AG8" s="124">
        <v>2500000</v>
      </c>
      <c r="AH8" s="124">
        <v>2500000</v>
      </c>
      <c r="AI8" s="172">
        <f>60%*AH8</f>
        <v>1500000</v>
      </c>
      <c r="AJ8" s="171">
        <f t="shared" si="0"/>
        <v>27000000</v>
      </c>
    </row>
    <row r="9" spans="1:36" x14ac:dyDescent="0.35">
      <c r="A9" s="1" t="s">
        <v>182</v>
      </c>
      <c r="B9" s="86"/>
      <c r="C9" s="89"/>
      <c r="D9" s="1"/>
      <c r="E9" s="1"/>
      <c r="F9" s="1"/>
      <c r="G9" s="1"/>
      <c r="H9" s="1"/>
      <c r="I9" s="1"/>
      <c r="J9" s="1"/>
      <c r="K9" s="1"/>
      <c r="W9" s="164" t="s">
        <v>543</v>
      </c>
      <c r="X9" s="124">
        <v>200000</v>
      </c>
      <c r="Y9" s="124">
        <v>200000</v>
      </c>
      <c r="Z9" s="124">
        <v>200000</v>
      </c>
      <c r="AA9" s="172">
        <v>200000</v>
      </c>
      <c r="AB9" s="124">
        <v>200000</v>
      </c>
      <c r="AC9" s="124">
        <v>200000</v>
      </c>
      <c r="AD9" s="124">
        <v>200000</v>
      </c>
      <c r="AE9" s="172">
        <v>200000</v>
      </c>
      <c r="AF9" s="124">
        <v>200000</v>
      </c>
      <c r="AG9" s="124">
        <v>200000</v>
      </c>
      <c r="AH9" s="124">
        <v>200000</v>
      </c>
      <c r="AI9" s="172">
        <v>200000</v>
      </c>
      <c r="AJ9" s="171">
        <f t="shared" si="0"/>
        <v>2400000</v>
      </c>
    </row>
    <row r="10" spans="1:36" x14ac:dyDescent="0.35">
      <c r="A10" s="1"/>
      <c r="B10" s="86"/>
      <c r="C10" s="89"/>
      <c r="D10" s="1"/>
      <c r="E10" s="1"/>
      <c r="F10" s="1"/>
      <c r="G10" s="1"/>
      <c r="H10" s="1"/>
      <c r="I10" s="1"/>
      <c r="J10" s="90"/>
      <c r="K10" s="1"/>
      <c r="W10" s="164" t="s">
        <v>544</v>
      </c>
      <c r="X10" s="124">
        <v>60000</v>
      </c>
      <c r="Y10" s="124">
        <v>60000</v>
      </c>
      <c r="Z10" s="124">
        <v>60000</v>
      </c>
      <c r="AA10" s="172">
        <v>60000</v>
      </c>
      <c r="AB10" s="124">
        <v>60000</v>
      </c>
      <c r="AC10" s="124">
        <v>60000</v>
      </c>
      <c r="AD10" s="124">
        <v>60000</v>
      </c>
      <c r="AE10" s="172">
        <v>60000</v>
      </c>
      <c r="AF10" s="124">
        <v>60000</v>
      </c>
      <c r="AG10" s="124">
        <v>60000</v>
      </c>
      <c r="AH10" s="124">
        <v>60000</v>
      </c>
      <c r="AI10" s="172"/>
      <c r="AJ10" s="171">
        <f t="shared" si="0"/>
        <v>660000</v>
      </c>
    </row>
    <row r="11" spans="1:36" x14ac:dyDescent="0.35">
      <c r="A11" s="1" t="s">
        <v>183</v>
      </c>
      <c r="B11" s="86"/>
      <c r="C11" s="89"/>
      <c r="D11" s="1"/>
      <c r="E11" s="1"/>
      <c r="F11" s="1"/>
      <c r="G11" s="1"/>
      <c r="H11" s="1"/>
      <c r="I11" s="1"/>
      <c r="J11" s="170" t="s">
        <v>537</v>
      </c>
      <c r="K11" s="170"/>
      <c r="L11" s="170"/>
      <c r="N11" s="170" t="s">
        <v>538</v>
      </c>
      <c r="O11" s="170"/>
      <c r="P11" s="170"/>
      <c r="R11" s="170" t="s">
        <v>539</v>
      </c>
      <c r="S11" s="170"/>
      <c r="T11" s="170"/>
      <c r="U11" s="170"/>
      <c r="V11" s="169"/>
      <c r="W11" s="164" t="s">
        <v>553</v>
      </c>
      <c r="X11" s="124"/>
      <c r="Y11" s="124"/>
      <c r="Z11" s="124"/>
      <c r="AA11" s="172"/>
      <c r="AB11" s="124">
        <v>200000</v>
      </c>
      <c r="AC11" s="124"/>
      <c r="AD11" s="124"/>
      <c r="AE11" s="172"/>
      <c r="AF11" s="124"/>
      <c r="AG11" s="124"/>
      <c r="AH11" s="124"/>
      <c r="AI11" s="172"/>
      <c r="AJ11" s="171">
        <f t="shared" si="0"/>
        <v>200000</v>
      </c>
    </row>
    <row r="12" spans="1:36" x14ac:dyDescent="0.35">
      <c r="A12" s="1"/>
      <c r="B12" s="86"/>
      <c r="C12" s="89"/>
      <c r="D12" s="1" t="s">
        <v>532</v>
      </c>
      <c r="E12" s="1" t="s">
        <v>533</v>
      </c>
      <c r="F12" s="1" t="s">
        <v>534</v>
      </c>
      <c r="G12" s="1" t="s">
        <v>535</v>
      </c>
      <c r="H12" s="1" t="s">
        <v>536</v>
      </c>
      <c r="I12" s="1"/>
      <c r="J12" s="1" t="s">
        <v>98</v>
      </c>
      <c r="K12" s="1" t="s">
        <v>221</v>
      </c>
      <c r="L12" s="1" t="s">
        <v>529</v>
      </c>
      <c r="N12" t="s">
        <v>102</v>
      </c>
      <c r="O12" t="s">
        <v>103</v>
      </c>
      <c r="P12" t="s">
        <v>104</v>
      </c>
      <c r="R12" t="s">
        <v>219</v>
      </c>
      <c r="S12" t="s">
        <v>107</v>
      </c>
      <c r="T12" t="s">
        <v>220</v>
      </c>
      <c r="W12" s="164"/>
      <c r="X12" s="166"/>
      <c r="Y12" s="166"/>
      <c r="Z12" s="166"/>
      <c r="AA12" s="167"/>
      <c r="AB12" s="166"/>
      <c r="AC12" s="166"/>
      <c r="AD12" s="166"/>
      <c r="AE12" s="167"/>
      <c r="AF12" s="166"/>
      <c r="AG12" s="166"/>
      <c r="AH12" s="166"/>
      <c r="AI12" s="167"/>
      <c r="AJ12" s="122"/>
    </row>
    <row r="13" spans="1:36" x14ac:dyDescent="0.35">
      <c r="A13" s="1" t="s">
        <v>184</v>
      </c>
      <c r="B13" s="86"/>
      <c r="C13" s="89"/>
      <c r="D13" s="1">
        <v>120</v>
      </c>
      <c r="E13" s="16">
        <v>33500</v>
      </c>
      <c r="F13" s="16">
        <f>D13*E13</f>
        <v>4020000</v>
      </c>
      <c r="G13" s="16">
        <f>D13*E13</f>
        <v>4020000</v>
      </c>
      <c r="H13" s="16">
        <f>D13*E13</f>
        <v>4020000</v>
      </c>
      <c r="I13" s="16"/>
      <c r="K13" s="93">
        <f>60%*F13</f>
        <v>2412000</v>
      </c>
      <c r="L13" s="127">
        <f>40%*F13</f>
        <v>1608000</v>
      </c>
      <c r="N13" s="127">
        <f>60%*G13</f>
        <v>2412000</v>
      </c>
      <c r="O13" s="127">
        <f>40%*G13</f>
        <v>1608000</v>
      </c>
      <c r="R13" s="127">
        <f>60%*H13</f>
        <v>2412000</v>
      </c>
      <c r="S13" s="127">
        <f>40%*H13</f>
        <v>1608000</v>
      </c>
      <c r="W13" s="161" t="s">
        <v>556</v>
      </c>
      <c r="X13" s="173">
        <f>SUM(X6:X12)</f>
        <v>17359000</v>
      </c>
      <c r="Y13" s="173">
        <f t="shared" ref="Y13:AJ13" si="1">SUM(Y6:Y12)</f>
        <v>10318000</v>
      </c>
      <c r="Z13" s="173">
        <f t="shared" si="1"/>
        <v>4368000</v>
      </c>
      <c r="AA13" s="173">
        <f t="shared" si="1"/>
        <v>1760000</v>
      </c>
      <c r="AB13" s="173">
        <f t="shared" si="1"/>
        <v>19971000</v>
      </c>
      <c r="AC13" s="173">
        <f t="shared" si="1"/>
        <v>9514000</v>
      </c>
      <c r="AD13" s="173">
        <f t="shared" si="1"/>
        <v>2760000</v>
      </c>
      <c r="AE13" s="173">
        <f t="shared" si="1"/>
        <v>1760000</v>
      </c>
      <c r="AF13" s="173">
        <f t="shared" si="1"/>
        <v>19771000</v>
      </c>
      <c r="AG13" s="173">
        <f t="shared" si="1"/>
        <v>9514000</v>
      </c>
      <c r="AH13" s="173">
        <f t="shared" si="1"/>
        <v>2760000</v>
      </c>
      <c r="AI13" s="173">
        <f t="shared" si="1"/>
        <v>1700000</v>
      </c>
      <c r="AJ13" s="173">
        <f t="shared" si="1"/>
        <v>101555000</v>
      </c>
    </row>
    <row r="14" spans="1:36" x14ac:dyDescent="0.35">
      <c r="A14" s="1" t="s">
        <v>185</v>
      </c>
      <c r="B14" s="86"/>
      <c r="C14" s="89"/>
      <c r="D14" s="1">
        <v>110</v>
      </c>
      <c r="E14" s="16">
        <v>36500</v>
      </c>
      <c r="F14" s="16">
        <f t="shared" ref="F14:F16" si="2">D14*E14</f>
        <v>4015000</v>
      </c>
      <c r="G14" s="16">
        <f t="shared" ref="G14:G16" si="3">D14*E14</f>
        <v>4015000</v>
      </c>
      <c r="H14" s="16">
        <f t="shared" ref="H14:H16" si="4">D14*E14</f>
        <v>4015000</v>
      </c>
      <c r="I14" s="16"/>
      <c r="J14" s="93">
        <f>60%*F14</f>
        <v>2409000</v>
      </c>
      <c r="K14" s="100">
        <f>40%*F14</f>
        <v>1606000</v>
      </c>
      <c r="N14" s="127">
        <f t="shared" ref="N14:N16" si="5">60%*G14</f>
        <v>2409000</v>
      </c>
      <c r="O14" s="127">
        <f t="shared" ref="O14:O16" si="6">40%*G14</f>
        <v>1606000</v>
      </c>
      <c r="R14" s="127">
        <f t="shared" ref="R14:R16" si="7">60%*H14</f>
        <v>2409000</v>
      </c>
      <c r="S14" s="127">
        <f t="shared" ref="S14:S16" si="8">40%*H14</f>
        <v>1606000</v>
      </c>
      <c r="W14" s="164"/>
      <c r="X14" s="166"/>
      <c r="Y14" s="166"/>
      <c r="Z14" s="166"/>
      <c r="AA14" s="167"/>
      <c r="AB14" s="166"/>
      <c r="AC14" s="166"/>
      <c r="AD14" s="166"/>
      <c r="AE14" s="167"/>
      <c r="AF14" s="166"/>
      <c r="AG14" s="166"/>
      <c r="AH14" s="166"/>
      <c r="AI14" s="167"/>
      <c r="AJ14" s="122"/>
    </row>
    <row r="15" spans="1:36" x14ac:dyDescent="0.35">
      <c r="A15" s="1" t="s">
        <v>186</v>
      </c>
      <c r="B15" s="86"/>
      <c r="C15" s="91"/>
      <c r="D15" s="1">
        <v>100</v>
      </c>
      <c r="E15" s="16">
        <v>43500</v>
      </c>
      <c r="F15" s="16">
        <f t="shared" si="2"/>
        <v>4350000</v>
      </c>
      <c r="G15" s="16">
        <f t="shared" si="3"/>
        <v>4350000</v>
      </c>
      <c r="H15" s="16">
        <f t="shared" si="4"/>
        <v>4350000</v>
      </c>
      <c r="I15" s="16"/>
      <c r="J15" s="93">
        <f>60%*F15</f>
        <v>2610000</v>
      </c>
      <c r="K15" s="100">
        <f>40%*F15</f>
        <v>1740000</v>
      </c>
      <c r="N15" s="127">
        <f t="shared" si="5"/>
        <v>2610000</v>
      </c>
      <c r="O15" s="127">
        <f t="shared" si="6"/>
        <v>1740000</v>
      </c>
      <c r="R15" s="127">
        <f t="shared" si="7"/>
        <v>2610000</v>
      </c>
      <c r="S15" s="127">
        <f t="shared" si="8"/>
        <v>1740000</v>
      </c>
      <c r="W15" s="164"/>
      <c r="X15" s="166"/>
      <c r="Y15" s="166"/>
      <c r="Z15" s="166"/>
      <c r="AA15" s="167"/>
      <c r="AB15" s="166"/>
      <c r="AC15" s="166"/>
      <c r="AD15" s="166"/>
      <c r="AE15" s="167"/>
      <c r="AF15" s="166"/>
      <c r="AG15" s="166"/>
      <c r="AH15" s="166"/>
      <c r="AI15" s="167"/>
      <c r="AJ15" s="122"/>
    </row>
    <row r="16" spans="1:36" x14ac:dyDescent="0.35">
      <c r="A16" s="1" t="s">
        <v>187</v>
      </c>
      <c r="B16" s="87"/>
      <c r="C16" s="92"/>
      <c r="D16" s="1">
        <v>100</v>
      </c>
      <c r="E16" s="16">
        <v>45000</v>
      </c>
      <c r="F16" s="16">
        <f t="shared" si="2"/>
        <v>4500000</v>
      </c>
      <c r="G16" s="16">
        <f t="shared" si="3"/>
        <v>4500000</v>
      </c>
      <c r="H16" s="16">
        <f t="shared" si="4"/>
        <v>4500000</v>
      </c>
      <c r="I16" s="16"/>
      <c r="J16" s="93">
        <f>60%*F16</f>
        <v>2700000</v>
      </c>
      <c r="K16" s="100">
        <f>40%*F16</f>
        <v>1800000</v>
      </c>
      <c r="N16" s="127">
        <f t="shared" si="5"/>
        <v>2700000</v>
      </c>
      <c r="O16" s="127">
        <f t="shared" si="6"/>
        <v>1800000</v>
      </c>
      <c r="R16" s="127">
        <f t="shared" si="7"/>
        <v>2700000</v>
      </c>
      <c r="S16" s="127">
        <f t="shared" si="8"/>
        <v>1800000</v>
      </c>
      <c r="W16" s="161" t="s">
        <v>531</v>
      </c>
      <c r="X16" s="166"/>
      <c r="Y16" s="166"/>
      <c r="Z16" s="166"/>
      <c r="AA16" s="167"/>
      <c r="AB16" s="166"/>
      <c r="AC16" s="166"/>
      <c r="AD16" s="166"/>
      <c r="AE16" s="167"/>
      <c r="AF16" s="166"/>
      <c r="AG16" s="166"/>
      <c r="AH16" s="166"/>
      <c r="AI16" s="167"/>
      <c r="AJ16" s="122"/>
    </row>
    <row r="17" spans="1:36" x14ac:dyDescent="0.35">
      <c r="A17" s="1"/>
      <c r="B17" s="1"/>
      <c r="C17" s="1"/>
      <c r="D17" s="1">
        <f>SUM(D13:D16)</f>
        <v>430</v>
      </c>
      <c r="E17" s="1"/>
      <c r="F17" s="93">
        <f>SUM(F13:F16)</f>
        <v>16885000</v>
      </c>
      <c r="G17" s="93">
        <f>SUM(G13:G16)</f>
        <v>16885000</v>
      </c>
      <c r="H17" s="93">
        <f>SUM(H13:H16)</f>
        <v>16885000</v>
      </c>
      <c r="I17" s="93"/>
      <c r="J17" s="93">
        <f>SUM(J13:J16)</f>
        <v>7719000</v>
      </c>
      <c r="K17" s="93">
        <f t="shared" ref="K17:L17" si="9">SUM(K13:K16)</f>
        <v>7558000</v>
      </c>
      <c r="L17" s="93">
        <f t="shared" si="9"/>
        <v>1608000</v>
      </c>
      <c r="N17" s="127">
        <f>SUM(N13:N16)</f>
        <v>10131000</v>
      </c>
      <c r="O17" s="127">
        <f>SUM(O13:O16)</f>
        <v>6754000</v>
      </c>
      <c r="R17" s="127">
        <f>SUM(R13:R16)</f>
        <v>10131000</v>
      </c>
      <c r="S17" s="127">
        <f>SUM(S13:S16)</f>
        <v>6754000</v>
      </c>
      <c r="W17" s="164" t="s">
        <v>545</v>
      </c>
      <c r="X17" s="166">
        <v>6200000</v>
      </c>
      <c r="Y17" s="166">
        <v>6200000</v>
      </c>
      <c r="Z17" s="166">
        <v>6200000</v>
      </c>
      <c r="AA17" s="167">
        <v>6200000</v>
      </c>
      <c r="AB17" s="166">
        <v>6200000</v>
      </c>
      <c r="AC17" s="166">
        <v>6200000</v>
      </c>
      <c r="AD17" s="166">
        <v>6200000</v>
      </c>
      <c r="AE17" s="167">
        <v>6200000</v>
      </c>
      <c r="AF17" s="166">
        <v>6200000</v>
      </c>
      <c r="AG17" s="166">
        <v>6200000</v>
      </c>
      <c r="AH17" s="166">
        <v>6200000</v>
      </c>
      <c r="AI17" s="167">
        <v>6200000</v>
      </c>
      <c r="AJ17" s="171">
        <f>SUM(X17:AI17)</f>
        <v>74400000</v>
      </c>
    </row>
    <row r="18" spans="1:36" x14ac:dyDescent="0.35">
      <c r="A18" s="1" t="s">
        <v>188</v>
      </c>
      <c r="B18" s="87"/>
      <c r="C18" s="1"/>
      <c r="D18" s="1"/>
      <c r="E18" s="1"/>
      <c r="F18" s="1"/>
      <c r="G18" s="1"/>
      <c r="H18" s="1"/>
      <c r="I18" s="1"/>
      <c r="J18" s="1"/>
      <c r="K18" s="1"/>
      <c r="W18" s="164" t="s">
        <v>546</v>
      </c>
      <c r="X18" s="166">
        <v>550000</v>
      </c>
      <c r="Y18" s="166">
        <v>550000</v>
      </c>
      <c r="Z18" s="166">
        <v>550000</v>
      </c>
      <c r="AA18" s="167">
        <f>60%*Z18</f>
        <v>330000</v>
      </c>
      <c r="AB18" s="166">
        <v>550000</v>
      </c>
      <c r="AC18" s="166">
        <v>550000</v>
      </c>
      <c r="AD18" s="166">
        <v>550000</v>
      </c>
      <c r="AE18" s="167">
        <f>60%*AD18</f>
        <v>330000</v>
      </c>
      <c r="AF18" s="166">
        <v>550000</v>
      </c>
      <c r="AG18" s="166">
        <v>550000</v>
      </c>
      <c r="AH18" s="166">
        <v>550000</v>
      </c>
      <c r="AI18" s="167">
        <f>60%*AH18</f>
        <v>330000</v>
      </c>
      <c r="AJ18" s="171">
        <f>SUM(X18:AI18)</f>
        <v>5940000</v>
      </c>
    </row>
    <row r="19" spans="1:36" x14ac:dyDescent="0.35">
      <c r="A19" s="1"/>
      <c r="B19" s="86" t="s">
        <v>189</v>
      </c>
      <c r="C19" s="1"/>
      <c r="D19" s="1"/>
      <c r="E19" s="1"/>
      <c r="F19" s="1"/>
      <c r="G19" s="1"/>
      <c r="H19" s="1"/>
      <c r="I19" s="1"/>
      <c r="J19" s="1"/>
      <c r="K19" s="1"/>
      <c r="W19" s="164" t="s">
        <v>547</v>
      </c>
      <c r="X19" s="166">
        <v>650000</v>
      </c>
      <c r="Y19" s="166"/>
      <c r="Z19" s="166"/>
      <c r="AA19" s="167"/>
      <c r="AB19" s="166">
        <v>650000</v>
      </c>
      <c r="AC19" s="166"/>
      <c r="AD19" s="166"/>
      <c r="AE19" s="167"/>
      <c r="AF19" s="166">
        <v>650000</v>
      </c>
      <c r="AG19" s="166"/>
      <c r="AH19" s="166"/>
      <c r="AI19" s="167"/>
      <c r="AJ19" s="171">
        <f>SUM(X19:AI19)</f>
        <v>1950000</v>
      </c>
    </row>
    <row r="20" spans="1:36" x14ac:dyDescent="0.35">
      <c r="A20" s="1" t="s">
        <v>190</v>
      </c>
      <c r="B20" s="86"/>
      <c r="C20" s="93"/>
      <c r="D20" s="1"/>
      <c r="E20" s="1"/>
      <c r="F20" s="1"/>
      <c r="G20" s="1"/>
      <c r="H20" s="1"/>
      <c r="I20" s="1"/>
      <c r="J20" s="1"/>
      <c r="K20" s="1"/>
      <c r="W20" s="164" t="s">
        <v>548</v>
      </c>
      <c r="X20" s="166">
        <v>1500000</v>
      </c>
      <c r="Y20" s="166">
        <v>1500000</v>
      </c>
      <c r="Z20" s="166">
        <v>1500000</v>
      </c>
      <c r="AA20" s="166">
        <f>40%*Z20</f>
        <v>600000</v>
      </c>
      <c r="AB20" s="166">
        <v>1500000</v>
      </c>
      <c r="AC20" s="166">
        <v>1500000</v>
      </c>
      <c r="AD20" s="166">
        <v>1500000</v>
      </c>
      <c r="AE20" s="166">
        <f>40%*AD20</f>
        <v>600000</v>
      </c>
      <c r="AF20" s="166">
        <v>1500000</v>
      </c>
      <c r="AG20" s="166">
        <v>1500000</v>
      </c>
      <c r="AH20" s="166">
        <v>1500000</v>
      </c>
      <c r="AI20" s="166">
        <f>40%*AH20</f>
        <v>600000</v>
      </c>
      <c r="AJ20" s="171">
        <f>SUM(X20:AI20)</f>
        <v>15300000</v>
      </c>
    </row>
    <row r="21" spans="1:36" x14ac:dyDescent="0.35">
      <c r="A21" s="1" t="s">
        <v>191</v>
      </c>
      <c r="B21" s="86"/>
      <c r="C21" s="93"/>
      <c r="D21" s="1"/>
      <c r="E21" s="1"/>
      <c r="F21" s="1"/>
      <c r="G21" s="1"/>
      <c r="H21" s="1"/>
      <c r="I21" s="1"/>
      <c r="J21" s="1"/>
      <c r="K21" s="1"/>
      <c r="W21" s="164" t="s">
        <v>549</v>
      </c>
      <c r="X21" s="166">
        <v>150000</v>
      </c>
      <c r="Y21" s="166">
        <v>150000</v>
      </c>
      <c r="Z21" s="166">
        <v>150000</v>
      </c>
      <c r="AA21" s="166">
        <v>50000</v>
      </c>
      <c r="AB21" s="166">
        <v>150000</v>
      </c>
      <c r="AC21" s="166">
        <v>150000</v>
      </c>
      <c r="AD21" s="166">
        <v>150000</v>
      </c>
      <c r="AE21" s="166">
        <v>50000</v>
      </c>
      <c r="AF21" s="166">
        <v>150000</v>
      </c>
      <c r="AG21" s="166">
        <v>150000</v>
      </c>
      <c r="AH21" s="166">
        <v>150000</v>
      </c>
      <c r="AI21" s="166">
        <v>50000</v>
      </c>
      <c r="AJ21" s="166">
        <f>SUM(X21:AI21)</f>
        <v>1500000</v>
      </c>
    </row>
    <row r="22" spans="1:36" x14ac:dyDescent="0.35">
      <c r="A22" s="1"/>
      <c r="B22" s="86"/>
      <c r="C22" s="93"/>
      <c r="D22" s="1"/>
      <c r="E22" s="1"/>
      <c r="F22" s="1"/>
      <c r="G22" s="1"/>
      <c r="H22" s="1"/>
      <c r="I22" s="1"/>
      <c r="J22" s="1"/>
      <c r="K22" s="1"/>
      <c r="W22" s="164" t="s">
        <v>550</v>
      </c>
      <c r="X22" s="166">
        <v>250000</v>
      </c>
      <c r="Y22" s="166">
        <v>250000</v>
      </c>
      <c r="Z22" s="166">
        <v>250000</v>
      </c>
      <c r="AA22" s="166">
        <f>40%*Z22</f>
        <v>100000</v>
      </c>
      <c r="AB22" s="166">
        <v>250000</v>
      </c>
      <c r="AC22" s="166">
        <v>250000</v>
      </c>
      <c r="AD22" s="166">
        <v>250000</v>
      </c>
      <c r="AE22" s="166">
        <f>40%*AD22</f>
        <v>100000</v>
      </c>
      <c r="AF22" s="166">
        <v>250000</v>
      </c>
      <c r="AG22" s="166">
        <v>250000</v>
      </c>
      <c r="AH22" s="166">
        <v>250000</v>
      </c>
      <c r="AI22" s="166">
        <f>40%*AH22</f>
        <v>100000</v>
      </c>
      <c r="AJ22" s="166">
        <f>SUM(X22:AI22)</f>
        <v>2550000</v>
      </c>
    </row>
    <row r="23" spans="1:36" x14ac:dyDescent="0.35">
      <c r="A23" s="1" t="s">
        <v>192</v>
      </c>
      <c r="B23" s="86"/>
      <c r="C23" s="93"/>
      <c r="D23" s="1"/>
      <c r="E23" s="1"/>
      <c r="F23" s="1"/>
      <c r="G23" s="1"/>
      <c r="H23" s="1"/>
      <c r="I23" s="1"/>
      <c r="J23" s="1"/>
      <c r="K23" s="1"/>
      <c r="W23" s="164" t="s">
        <v>551</v>
      </c>
      <c r="X23" s="166">
        <v>1500000</v>
      </c>
      <c r="Y23" s="166"/>
      <c r="Z23" s="166"/>
      <c r="AA23" s="167"/>
      <c r="AC23" s="166"/>
      <c r="AD23" s="166"/>
      <c r="AE23" s="167"/>
      <c r="AF23" s="166"/>
      <c r="AG23" s="166"/>
      <c r="AH23" s="166"/>
      <c r="AI23" s="167"/>
      <c r="AJ23" s="166">
        <f>SUM(X23:AI23)</f>
        <v>1500000</v>
      </c>
    </row>
    <row r="24" spans="1:36" x14ac:dyDescent="0.35">
      <c r="A24" s="1"/>
      <c r="B24" s="86"/>
      <c r="C24" s="94"/>
      <c r="D24" s="1"/>
      <c r="E24" s="1"/>
      <c r="F24" s="1"/>
      <c r="G24" s="1"/>
      <c r="H24" s="1"/>
      <c r="I24" s="1"/>
      <c r="J24" s="1"/>
      <c r="K24" s="1"/>
      <c r="W24" s="164" t="s">
        <v>552</v>
      </c>
      <c r="X24" s="166"/>
      <c r="Y24" s="166"/>
      <c r="Z24" s="166"/>
      <c r="AA24" s="167"/>
      <c r="AB24" s="166">
        <v>2000000</v>
      </c>
      <c r="AC24" s="166"/>
      <c r="AD24" s="166"/>
      <c r="AE24" s="167"/>
      <c r="AF24" s="166"/>
      <c r="AG24" s="166"/>
      <c r="AH24" s="166"/>
      <c r="AI24" s="167"/>
      <c r="AJ24" s="166">
        <f>SUM(X24:AI24)</f>
        <v>2000000</v>
      </c>
    </row>
    <row r="25" spans="1:36" x14ac:dyDescent="0.35">
      <c r="A25" s="1" t="s">
        <v>193</v>
      </c>
      <c r="B25" s="87"/>
      <c r="C25" s="95"/>
      <c r="D25" s="1"/>
      <c r="E25" s="1"/>
      <c r="F25" s="1"/>
      <c r="G25" s="1"/>
      <c r="H25" s="1"/>
      <c r="I25" s="1"/>
      <c r="J25" s="1"/>
      <c r="K25" s="1"/>
      <c r="W25" s="164" t="s">
        <v>554</v>
      </c>
      <c r="X25" s="166"/>
      <c r="Y25" s="166"/>
      <c r="Z25" s="166"/>
      <c r="AA25" s="167"/>
      <c r="AB25" s="166"/>
      <c r="AC25" s="166"/>
      <c r="AD25" s="166"/>
      <c r="AE25" s="167"/>
      <c r="AF25" s="166"/>
      <c r="AG25" s="166"/>
      <c r="AH25" s="166"/>
      <c r="AI25" s="167">
        <v>2000000</v>
      </c>
      <c r="AJ25" s="166">
        <f>SUM(X25:AI25)</f>
        <v>2000000</v>
      </c>
    </row>
    <row r="26" spans="1:36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W26" s="164" t="s">
        <v>555</v>
      </c>
      <c r="X26" s="166"/>
      <c r="Y26" s="166"/>
      <c r="Z26" s="166"/>
      <c r="AA26" s="167"/>
      <c r="AB26" s="166"/>
      <c r="AC26" s="166"/>
      <c r="AD26" s="166"/>
      <c r="AE26" s="167"/>
      <c r="AF26" s="166"/>
      <c r="AG26" s="166"/>
      <c r="AH26" s="166"/>
      <c r="AI26" s="167">
        <v>200000</v>
      </c>
      <c r="AJ26" s="166">
        <f>SUM(X26:AI26)</f>
        <v>200000</v>
      </c>
    </row>
    <row r="27" spans="1:36" x14ac:dyDescent="0.35">
      <c r="A27" s="1" t="s">
        <v>194</v>
      </c>
      <c r="B27" s="1"/>
      <c r="C27" s="1"/>
      <c r="D27" s="1"/>
      <c r="E27" s="1"/>
      <c r="F27" s="1"/>
      <c r="G27" s="1"/>
      <c r="H27" s="1"/>
      <c r="I27" s="1"/>
      <c r="J27" s="1"/>
      <c r="K27" s="1"/>
      <c r="W27" s="164"/>
      <c r="X27" s="166"/>
      <c r="Y27" s="166"/>
      <c r="Z27" s="166"/>
      <c r="AA27" s="167"/>
      <c r="AB27" s="166"/>
      <c r="AC27" s="166"/>
      <c r="AD27" s="166"/>
      <c r="AE27" s="167"/>
      <c r="AF27" s="166"/>
      <c r="AG27" s="166"/>
      <c r="AH27" s="166"/>
      <c r="AI27" s="167"/>
      <c r="AJ27" s="166"/>
    </row>
    <row r="28" spans="1:36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W28" s="161" t="s">
        <v>557</v>
      </c>
      <c r="X28" s="173">
        <f>SUM(X17:X27)</f>
        <v>10800000</v>
      </c>
      <c r="Y28" s="173">
        <f t="shared" ref="Y28:AJ28" si="10">SUM(Y17:Y27)</f>
        <v>8650000</v>
      </c>
      <c r="Z28" s="173">
        <f t="shared" si="10"/>
        <v>8650000</v>
      </c>
      <c r="AA28" s="173">
        <f t="shared" si="10"/>
        <v>7280000</v>
      </c>
      <c r="AB28" s="173">
        <f t="shared" si="10"/>
        <v>11300000</v>
      </c>
      <c r="AC28" s="173">
        <f t="shared" si="10"/>
        <v>8650000</v>
      </c>
      <c r="AD28" s="173">
        <f t="shared" si="10"/>
        <v>8650000</v>
      </c>
      <c r="AE28" s="173">
        <f t="shared" si="10"/>
        <v>7280000</v>
      </c>
      <c r="AF28" s="173">
        <f t="shared" si="10"/>
        <v>9300000</v>
      </c>
      <c r="AG28" s="173">
        <f t="shared" si="10"/>
        <v>8650000</v>
      </c>
      <c r="AH28" s="173">
        <f t="shared" si="10"/>
        <v>8650000</v>
      </c>
      <c r="AI28" s="173">
        <f t="shared" si="10"/>
        <v>9480000</v>
      </c>
      <c r="AJ28" s="173">
        <f t="shared" si="10"/>
        <v>107340000</v>
      </c>
    </row>
    <row r="29" spans="1:36" x14ac:dyDescent="0.35">
      <c r="A29" s="1" t="s">
        <v>195</v>
      </c>
      <c r="B29" s="1"/>
      <c r="C29" s="1"/>
      <c r="D29" s="1"/>
      <c r="E29" s="1"/>
      <c r="F29" s="1"/>
      <c r="G29" s="1"/>
      <c r="H29" s="1"/>
      <c r="I29" s="1"/>
      <c r="J29" s="1"/>
      <c r="K29" s="1"/>
      <c r="W29" s="164"/>
      <c r="X29" s="166"/>
      <c r="Y29" s="166"/>
      <c r="Z29" s="166"/>
      <c r="AA29" s="167"/>
      <c r="AB29" s="166"/>
      <c r="AC29" s="166"/>
      <c r="AD29" s="166"/>
      <c r="AE29" s="167"/>
      <c r="AF29" s="166"/>
      <c r="AG29" s="166"/>
      <c r="AH29" s="166"/>
      <c r="AI29" s="167"/>
      <c r="AJ29" s="166"/>
    </row>
    <row r="30" spans="1:36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W30" s="161" t="s">
        <v>558</v>
      </c>
      <c r="X30" s="173">
        <f>X13-X28</f>
        <v>6559000</v>
      </c>
      <c r="Y30" s="173">
        <f t="shared" ref="Y30:AJ30" si="11">Y13-Y28</f>
        <v>1668000</v>
      </c>
      <c r="Z30" s="173">
        <f t="shared" si="11"/>
        <v>-4282000</v>
      </c>
      <c r="AA30" s="173">
        <f t="shared" si="11"/>
        <v>-5520000</v>
      </c>
      <c r="AB30" s="173">
        <f t="shared" si="11"/>
        <v>8671000</v>
      </c>
      <c r="AC30" s="173">
        <f t="shared" si="11"/>
        <v>864000</v>
      </c>
      <c r="AD30" s="173">
        <f t="shared" si="11"/>
        <v>-5890000</v>
      </c>
      <c r="AE30" s="173">
        <f t="shared" si="11"/>
        <v>-5520000</v>
      </c>
      <c r="AF30" s="173">
        <f t="shared" si="11"/>
        <v>10471000</v>
      </c>
      <c r="AG30" s="173">
        <f t="shared" si="11"/>
        <v>864000</v>
      </c>
      <c r="AH30" s="173">
        <f t="shared" si="11"/>
        <v>-5890000</v>
      </c>
      <c r="AI30" s="173">
        <f t="shared" si="11"/>
        <v>-7780000</v>
      </c>
      <c r="AJ30" s="173">
        <f t="shared" si="11"/>
        <v>-5785000</v>
      </c>
    </row>
    <row r="31" spans="1:36" x14ac:dyDescent="0.35">
      <c r="A31" s="1" t="s">
        <v>196</v>
      </c>
      <c r="B31" s="1"/>
      <c r="C31" s="1"/>
      <c r="D31" s="1"/>
      <c r="E31" s="1"/>
      <c r="F31" s="1"/>
      <c r="G31" s="1"/>
      <c r="H31" s="1"/>
      <c r="I31" s="1"/>
      <c r="J31" s="1"/>
      <c r="K31" s="1"/>
      <c r="W31" s="174" t="s">
        <v>559</v>
      </c>
      <c r="X31" s="166">
        <v>5500000</v>
      </c>
      <c r="Y31" s="166">
        <f>X32</f>
        <v>12059000</v>
      </c>
      <c r="Z31" s="166">
        <f t="shared" ref="Z31:AI31" si="12">Y32</f>
        <v>13727000</v>
      </c>
      <c r="AA31" s="166">
        <f t="shared" si="12"/>
        <v>9445000</v>
      </c>
      <c r="AB31" s="166">
        <f t="shared" si="12"/>
        <v>3925000</v>
      </c>
      <c r="AC31" s="166">
        <f t="shared" si="12"/>
        <v>12596000</v>
      </c>
      <c r="AD31" s="166">
        <f t="shared" si="12"/>
        <v>13460000</v>
      </c>
      <c r="AE31" s="166">
        <f t="shared" si="12"/>
        <v>7570000</v>
      </c>
      <c r="AF31" s="166">
        <f t="shared" si="12"/>
        <v>2050000</v>
      </c>
      <c r="AG31" s="166">
        <f t="shared" si="12"/>
        <v>12521000</v>
      </c>
      <c r="AH31" s="166">
        <f t="shared" si="12"/>
        <v>13385000</v>
      </c>
      <c r="AI31" s="166">
        <f t="shared" si="12"/>
        <v>7495000</v>
      </c>
      <c r="AJ31" s="166">
        <f>X31</f>
        <v>5500000</v>
      </c>
    </row>
    <row r="32" spans="1:36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W32" s="164" t="s">
        <v>560</v>
      </c>
      <c r="X32" s="166">
        <f>X30+X31</f>
        <v>12059000</v>
      </c>
      <c r="Y32" s="166">
        <f>Y30+Y31</f>
        <v>13727000</v>
      </c>
      <c r="Z32" s="166">
        <f t="shared" ref="Z32:AJ32" si="13">Z30+Z31</f>
        <v>9445000</v>
      </c>
      <c r="AA32" s="166">
        <f t="shared" si="13"/>
        <v>3925000</v>
      </c>
      <c r="AB32" s="166">
        <f t="shared" si="13"/>
        <v>12596000</v>
      </c>
      <c r="AC32" s="166">
        <f t="shared" si="13"/>
        <v>13460000</v>
      </c>
      <c r="AD32" s="166">
        <f t="shared" si="13"/>
        <v>7570000</v>
      </c>
      <c r="AE32" s="166">
        <f t="shared" si="13"/>
        <v>2050000</v>
      </c>
      <c r="AF32" s="166">
        <f t="shared" si="13"/>
        <v>12521000</v>
      </c>
      <c r="AG32" s="166">
        <f t="shared" si="13"/>
        <v>13385000</v>
      </c>
      <c r="AH32" s="166">
        <f t="shared" si="13"/>
        <v>7495000</v>
      </c>
      <c r="AI32" s="166">
        <f t="shared" si="13"/>
        <v>-285000</v>
      </c>
      <c r="AJ32" s="173">
        <f t="shared" si="13"/>
        <v>-285000</v>
      </c>
    </row>
    <row r="33" spans="1:36" x14ac:dyDescent="0.35">
      <c r="A33" s="1" t="s">
        <v>197</v>
      </c>
      <c r="B33" s="1"/>
      <c r="C33" s="1"/>
      <c r="D33" s="1"/>
      <c r="E33" s="1"/>
      <c r="F33" s="1"/>
      <c r="G33" s="1"/>
      <c r="H33" s="1"/>
      <c r="I33" s="1"/>
      <c r="J33" s="1"/>
      <c r="K33" s="1"/>
      <c r="W33" s="164"/>
      <c r="X33" s="166"/>
      <c r="Y33" s="166"/>
      <c r="Z33" s="166"/>
      <c r="AA33" s="167"/>
      <c r="AB33" s="166"/>
      <c r="AC33" s="166"/>
      <c r="AD33" s="166"/>
      <c r="AE33" s="167"/>
      <c r="AF33" s="166"/>
      <c r="AG33" s="166"/>
      <c r="AH33" s="166"/>
      <c r="AI33" s="167"/>
      <c r="AJ33" s="166"/>
    </row>
    <row r="34" spans="1:36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W34" s="164"/>
      <c r="X34" s="166"/>
      <c r="Y34" s="166"/>
      <c r="Z34" s="166"/>
      <c r="AA34" s="167"/>
      <c r="AB34" s="166"/>
      <c r="AC34" s="166"/>
      <c r="AD34" s="166"/>
      <c r="AE34" s="167"/>
      <c r="AF34" s="166"/>
      <c r="AG34" s="166"/>
      <c r="AH34" s="166"/>
      <c r="AI34" s="167"/>
      <c r="AJ34" s="166"/>
    </row>
    <row r="35" spans="1:36" x14ac:dyDescent="0.35">
      <c r="A35" s="1" t="s">
        <v>198</v>
      </c>
      <c r="B35" s="1"/>
      <c r="C35" s="1"/>
      <c r="D35" s="1"/>
      <c r="E35" s="1"/>
      <c r="F35" s="1"/>
      <c r="G35" s="1"/>
      <c r="H35" s="1"/>
      <c r="I35" s="1"/>
      <c r="J35" s="1"/>
      <c r="K35" s="1"/>
      <c r="W35" s="164"/>
      <c r="X35" s="166"/>
      <c r="Y35" s="166"/>
      <c r="Z35" s="166"/>
      <c r="AA35" s="167"/>
      <c r="AB35" s="166"/>
      <c r="AC35" s="166"/>
      <c r="AD35" s="166"/>
      <c r="AE35" s="167"/>
      <c r="AF35" s="166"/>
      <c r="AG35" s="166"/>
      <c r="AH35" s="166"/>
      <c r="AI35" s="167"/>
      <c r="AJ35" s="166"/>
    </row>
    <row r="36" spans="1:36" x14ac:dyDescent="0.35">
      <c r="A36" s="1" t="s">
        <v>199</v>
      </c>
      <c r="B36" s="88"/>
      <c r="C36" s="1"/>
      <c r="D36" s="1"/>
      <c r="E36" s="1"/>
      <c r="F36" s="1"/>
      <c r="G36" s="1"/>
      <c r="H36" s="1"/>
      <c r="I36" s="1"/>
      <c r="J36" s="1"/>
      <c r="K36" s="1"/>
      <c r="W36" s="164"/>
      <c r="X36" s="166"/>
      <c r="Y36" s="166"/>
      <c r="Z36" s="166"/>
      <c r="AA36" s="167"/>
      <c r="AB36" s="166"/>
      <c r="AC36" s="166"/>
      <c r="AD36" s="166"/>
      <c r="AE36" s="167"/>
      <c r="AF36" s="166"/>
      <c r="AG36" s="166"/>
      <c r="AH36" s="166"/>
      <c r="AI36" s="167"/>
      <c r="AJ36" s="166"/>
    </row>
    <row r="37" spans="1:36" x14ac:dyDescent="0.35">
      <c r="A37" s="1" t="s">
        <v>190</v>
      </c>
      <c r="B37" s="1"/>
      <c r="C37" s="1"/>
      <c r="D37" s="1"/>
      <c r="E37" s="1"/>
      <c r="F37" s="1"/>
      <c r="G37" s="1"/>
      <c r="H37" s="1"/>
      <c r="I37" s="1"/>
      <c r="J37" s="1"/>
      <c r="K37" s="1"/>
      <c r="W37" s="164"/>
      <c r="X37" s="166"/>
      <c r="Y37" s="166"/>
      <c r="Z37" s="166"/>
      <c r="AA37" s="167"/>
      <c r="AB37" s="166"/>
      <c r="AC37" s="166"/>
      <c r="AD37" s="166"/>
      <c r="AE37" s="167"/>
      <c r="AF37" s="166"/>
      <c r="AG37" s="166"/>
      <c r="AH37" s="166"/>
      <c r="AI37" s="167"/>
      <c r="AJ37" s="166"/>
    </row>
    <row r="38" spans="1:36" x14ac:dyDescent="0.35">
      <c r="A38" s="1" t="s">
        <v>200</v>
      </c>
      <c r="B38" s="1"/>
      <c r="C38" s="1"/>
      <c r="D38" s="1"/>
      <c r="E38" s="1"/>
      <c r="F38" s="1"/>
      <c r="G38" s="1"/>
      <c r="H38" s="1"/>
      <c r="I38" s="1"/>
      <c r="J38" s="1"/>
      <c r="K38" s="1"/>
      <c r="W38" s="164"/>
      <c r="X38" s="166"/>
      <c r="Y38" s="166"/>
      <c r="Z38" s="166"/>
      <c r="AA38" s="167"/>
      <c r="AB38" s="166"/>
      <c r="AC38" s="166"/>
      <c r="AD38" s="166"/>
      <c r="AE38" s="167"/>
      <c r="AF38" s="166"/>
      <c r="AG38" s="166"/>
      <c r="AH38" s="166"/>
      <c r="AI38" s="167"/>
      <c r="AJ38" s="166"/>
    </row>
    <row r="39" spans="1:36" x14ac:dyDescent="0.35">
      <c r="A39" s="1" t="s">
        <v>201</v>
      </c>
      <c r="B39" s="88"/>
      <c r="C39" s="1"/>
      <c r="D39" s="1"/>
      <c r="E39" s="1"/>
      <c r="F39" s="1"/>
      <c r="G39" s="1"/>
      <c r="H39" s="1"/>
      <c r="I39" s="1"/>
      <c r="J39" s="1"/>
      <c r="K39" s="1"/>
      <c r="W39" s="164"/>
      <c r="X39" s="166"/>
      <c r="Y39" s="166"/>
      <c r="Z39" s="166"/>
      <c r="AA39" s="167"/>
      <c r="AB39" s="166"/>
      <c r="AC39" s="166"/>
      <c r="AD39" s="166"/>
      <c r="AE39" s="167"/>
      <c r="AF39" s="166"/>
      <c r="AG39" s="166"/>
      <c r="AH39" s="166"/>
      <c r="AI39" s="167"/>
      <c r="AJ39" s="166"/>
    </row>
    <row r="40" spans="1:36" x14ac:dyDescent="0.35">
      <c r="A40" s="1" t="s">
        <v>202</v>
      </c>
      <c r="B40" s="1"/>
      <c r="C40" s="1"/>
      <c r="D40" s="1"/>
      <c r="E40" s="1"/>
      <c r="F40" s="1"/>
      <c r="G40" s="1"/>
      <c r="H40" s="1"/>
      <c r="I40" s="1"/>
      <c r="J40" s="1"/>
      <c r="K40" s="1"/>
      <c r="W40" s="164"/>
      <c r="X40" s="166"/>
      <c r="Y40" s="166"/>
      <c r="Z40" s="166"/>
      <c r="AA40" s="167"/>
      <c r="AB40" s="166"/>
      <c r="AC40" s="166"/>
      <c r="AD40" s="166"/>
      <c r="AE40" s="167"/>
      <c r="AF40" s="166"/>
      <c r="AG40" s="166"/>
      <c r="AH40" s="166"/>
      <c r="AI40" s="167"/>
      <c r="AJ40" s="166"/>
    </row>
    <row r="41" spans="1:36" x14ac:dyDescent="0.35">
      <c r="A41" s="1" t="s">
        <v>203</v>
      </c>
      <c r="B41" s="1"/>
      <c r="C41" s="1"/>
      <c r="D41" s="1"/>
      <c r="E41" s="1"/>
      <c r="F41" s="1"/>
      <c r="G41" s="1"/>
      <c r="H41" s="1"/>
      <c r="I41" s="1"/>
      <c r="J41" s="1"/>
      <c r="K41" s="1"/>
      <c r="W41" s="164"/>
      <c r="X41" s="166"/>
      <c r="Y41" s="166"/>
      <c r="Z41" s="166"/>
      <c r="AA41" s="167"/>
      <c r="AB41" s="166"/>
      <c r="AC41" s="166"/>
      <c r="AD41" s="166"/>
      <c r="AE41" s="167"/>
      <c r="AF41" s="166"/>
      <c r="AG41" s="166"/>
      <c r="AH41" s="166"/>
      <c r="AI41" s="167"/>
      <c r="AJ41" s="166"/>
    </row>
    <row r="42" spans="1:36" x14ac:dyDescent="0.35">
      <c r="A42" s="1" t="s">
        <v>204</v>
      </c>
      <c r="B42" s="88"/>
      <c r="C42" s="1"/>
      <c r="D42" s="1"/>
      <c r="E42" s="1"/>
      <c r="F42" s="1"/>
      <c r="G42" s="1"/>
      <c r="H42" s="1"/>
      <c r="I42" s="1"/>
      <c r="J42" s="1"/>
      <c r="K42" s="1"/>
      <c r="W42" s="164"/>
      <c r="X42" s="124"/>
      <c r="Y42" s="124"/>
      <c r="Z42" s="124"/>
      <c r="AA42" s="172"/>
      <c r="AB42" s="124"/>
      <c r="AC42" s="124"/>
      <c r="AD42" s="124"/>
      <c r="AE42" s="172"/>
      <c r="AF42" s="124"/>
      <c r="AG42" s="124"/>
      <c r="AH42" s="124"/>
      <c r="AI42" s="172"/>
      <c r="AJ42" s="122"/>
    </row>
    <row r="43" spans="1:36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W43" s="164"/>
      <c r="X43" s="124"/>
      <c r="Y43" s="124"/>
      <c r="Z43" s="124"/>
      <c r="AA43" s="172"/>
      <c r="AB43" s="124"/>
      <c r="AC43" s="124"/>
      <c r="AD43" s="124"/>
      <c r="AE43" s="172"/>
      <c r="AF43" s="124"/>
      <c r="AG43" s="124"/>
      <c r="AH43" s="124"/>
      <c r="AI43" s="172"/>
      <c r="AJ43" s="122"/>
    </row>
    <row r="44" spans="1:36" x14ac:dyDescent="0.35">
      <c r="A44" s="1" t="s">
        <v>205</v>
      </c>
      <c r="B44" s="1"/>
      <c r="C44" s="1"/>
      <c r="D44" s="1"/>
      <c r="E44" s="1"/>
      <c r="F44" s="1"/>
      <c r="G44" s="1"/>
      <c r="H44" s="1"/>
      <c r="I44" s="1"/>
      <c r="J44" s="1"/>
      <c r="K44" s="1"/>
      <c r="W44" s="164"/>
      <c r="X44" s="124"/>
      <c r="Y44" s="124"/>
      <c r="Z44" s="124"/>
      <c r="AA44" s="172"/>
      <c r="AB44" s="124"/>
      <c r="AC44" s="124"/>
      <c r="AD44" s="124"/>
      <c r="AE44" s="172"/>
      <c r="AF44" s="124"/>
      <c r="AG44" s="124"/>
      <c r="AH44" s="124"/>
      <c r="AI44" s="172"/>
      <c r="AJ44" s="122"/>
    </row>
    <row r="45" spans="1:36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W45" s="164"/>
      <c r="X45" s="124"/>
      <c r="Y45" s="124"/>
      <c r="Z45" s="124"/>
      <c r="AA45" s="172"/>
      <c r="AB45" s="124"/>
      <c r="AC45" s="124"/>
      <c r="AD45" s="124"/>
      <c r="AE45" s="172"/>
      <c r="AF45" s="124"/>
      <c r="AG45" s="124"/>
      <c r="AH45" s="124"/>
      <c r="AI45" s="172"/>
      <c r="AJ45" s="122"/>
    </row>
    <row r="46" spans="1:36" x14ac:dyDescent="0.35">
      <c r="A46" s="1" t="s">
        <v>206</v>
      </c>
      <c r="B46" s="1"/>
      <c r="C46" s="1"/>
      <c r="D46" s="1"/>
      <c r="E46" s="1"/>
      <c r="F46" s="1"/>
      <c r="G46" s="1"/>
      <c r="H46" s="1"/>
      <c r="I46" s="1"/>
      <c r="J46" s="1"/>
      <c r="K46" s="1"/>
      <c r="W46" s="164"/>
      <c r="X46" s="124"/>
      <c r="Y46" s="124"/>
      <c r="Z46" s="124"/>
      <c r="AA46" s="172"/>
      <c r="AB46" s="124"/>
      <c r="AC46" s="124"/>
      <c r="AD46" s="124"/>
      <c r="AE46" s="172"/>
      <c r="AF46" s="124"/>
      <c r="AG46" s="124"/>
      <c r="AH46" s="124"/>
      <c r="AI46" s="172"/>
      <c r="AJ46" s="122"/>
    </row>
    <row r="47" spans="1:36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W47" s="164"/>
      <c r="X47" s="124"/>
      <c r="Y47" s="124"/>
      <c r="Z47" s="124"/>
      <c r="AA47" s="172"/>
      <c r="AB47" s="124"/>
      <c r="AC47" s="124"/>
      <c r="AD47" s="124"/>
      <c r="AE47" s="172"/>
      <c r="AF47" s="124"/>
      <c r="AG47" s="124"/>
      <c r="AH47" s="124"/>
      <c r="AI47" s="172"/>
      <c r="AJ47" s="122"/>
    </row>
    <row r="48" spans="1:36" x14ac:dyDescent="0.35">
      <c r="A48" s="2" t="s">
        <v>0</v>
      </c>
      <c r="B48" s="1"/>
      <c r="C48" s="1"/>
      <c r="D48" s="1"/>
      <c r="E48" s="1"/>
      <c r="F48" s="1"/>
      <c r="G48" s="1"/>
      <c r="H48" s="1"/>
      <c r="I48" s="1"/>
      <c r="J48" s="1"/>
      <c r="K48" s="1"/>
      <c r="W48" s="164"/>
      <c r="X48" s="124"/>
      <c r="Y48" s="124"/>
      <c r="Z48" s="124"/>
      <c r="AA48" s="172"/>
      <c r="AB48" s="124"/>
      <c r="AC48" s="124"/>
      <c r="AD48" s="124"/>
      <c r="AE48" s="172"/>
      <c r="AF48" s="124"/>
      <c r="AG48" s="124"/>
      <c r="AH48" s="124"/>
      <c r="AI48" s="172"/>
      <c r="AJ48" s="122"/>
    </row>
    <row r="49" spans="1:36" x14ac:dyDescent="0.35">
      <c r="A49" s="1" t="s">
        <v>207</v>
      </c>
      <c r="B49" s="1"/>
      <c r="C49" s="1"/>
      <c r="D49" s="1"/>
      <c r="E49" s="1"/>
      <c r="J49" s="1"/>
      <c r="K49" s="1"/>
      <c r="W49" s="164"/>
      <c r="X49" s="122"/>
      <c r="Y49" s="168"/>
      <c r="Z49" s="122"/>
      <c r="AA49" s="165"/>
      <c r="AB49" s="122"/>
      <c r="AC49" s="122"/>
      <c r="AD49" s="122"/>
      <c r="AE49" s="165"/>
      <c r="AF49" s="122"/>
      <c r="AG49" s="122"/>
      <c r="AH49" s="122"/>
      <c r="AI49" s="165"/>
      <c r="AJ49" s="122"/>
    </row>
    <row r="50" spans="1:36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W50" s="164"/>
      <c r="X50" s="122"/>
      <c r="Y50" s="122"/>
      <c r="Z50" s="122"/>
      <c r="AA50" s="165"/>
      <c r="AB50" s="122"/>
      <c r="AC50" s="122"/>
      <c r="AD50" s="122"/>
      <c r="AE50" s="165"/>
      <c r="AF50" s="122"/>
      <c r="AG50" s="122"/>
      <c r="AH50" s="122"/>
      <c r="AI50" s="165"/>
      <c r="AJ50" s="122"/>
    </row>
    <row r="51" spans="1:36" x14ac:dyDescent="0.35">
      <c r="W51" s="164"/>
      <c r="X51" s="122"/>
      <c r="Y51" s="122"/>
      <c r="Z51" s="122"/>
      <c r="AA51" s="165"/>
      <c r="AB51" s="122"/>
      <c r="AC51" s="122"/>
      <c r="AD51" s="122"/>
      <c r="AE51" s="165"/>
      <c r="AF51" s="122"/>
      <c r="AG51" s="122"/>
      <c r="AH51" s="122"/>
      <c r="AI51" s="165"/>
      <c r="AJ51" s="122"/>
    </row>
    <row r="52" spans="1:36" x14ac:dyDescent="0.35">
      <c r="W52" s="164"/>
      <c r="X52" s="122"/>
      <c r="Y52" s="122"/>
      <c r="Z52" s="122"/>
      <c r="AA52" s="165"/>
      <c r="AB52" s="122"/>
      <c r="AC52" s="122"/>
      <c r="AD52" s="122"/>
      <c r="AE52" s="165"/>
      <c r="AF52" s="122"/>
      <c r="AG52" s="122"/>
      <c r="AH52" s="122"/>
      <c r="AI52" s="165"/>
      <c r="AJ52" s="122"/>
    </row>
    <row r="53" spans="1:36" x14ac:dyDescent="0.35">
      <c r="W53" s="164"/>
      <c r="X53" s="122"/>
      <c r="Y53" s="122"/>
      <c r="Z53" s="122"/>
      <c r="AA53" s="165"/>
      <c r="AB53" s="122"/>
      <c r="AC53" s="122"/>
      <c r="AD53" s="122"/>
      <c r="AE53" s="165"/>
      <c r="AF53" s="122"/>
      <c r="AG53" s="122"/>
      <c r="AH53" s="122"/>
      <c r="AI53" s="165"/>
      <c r="AJ53" s="122"/>
    </row>
    <row r="54" spans="1:36" x14ac:dyDescent="0.35">
      <c r="W54" s="164"/>
      <c r="X54" s="122"/>
      <c r="Y54" s="122"/>
      <c r="Z54" s="122"/>
      <c r="AA54" s="165"/>
      <c r="AB54" s="122"/>
      <c r="AC54" s="122"/>
      <c r="AD54" s="122"/>
      <c r="AE54" s="165"/>
      <c r="AF54" s="122"/>
      <c r="AG54" s="122"/>
      <c r="AH54" s="122"/>
      <c r="AI54" s="165"/>
      <c r="AJ54" s="122"/>
    </row>
    <row r="55" spans="1:36" x14ac:dyDescent="0.35">
      <c r="W55" s="164"/>
      <c r="X55" s="122"/>
      <c r="Y55" s="122"/>
      <c r="Z55" s="122"/>
      <c r="AA55" s="165"/>
      <c r="AB55" s="122"/>
      <c r="AC55" s="122"/>
      <c r="AD55" s="122"/>
      <c r="AE55" s="165"/>
      <c r="AF55" s="122"/>
      <c r="AG55" s="122"/>
      <c r="AH55" s="122"/>
      <c r="AI55" s="165"/>
      <c r="AJ55" s="122"/>
    </row>
    <row r="56" spans="1:36" x14ac:dyDescent="0.35">
      <c r="W56" s="164"/>
      <c r="X56" s="122"/>
      <c r="Y56" s="122"/>
      <c r="Z56" s="122"/>
      <c r="AA56" s="165"/>
      <c r="AB56" s="122"/>
      <c r="AC56" s="122"/>
      <c r="AD56" s="122"/>
      <c r="AE56" s="165"/>
      <c r="AF56" s="122"/>
      <c r="AG56" s="122"/>
      <c r="AH56" s="122"/>
      <c r="AI56" s="165"/>
      <c r="AJ56" s="122"/>
    </row>
    <row r="57" spans="1:36" x14ac:dyDescent="0.35">
      <c r="W57" s="164"/>
      <c r="X57" s="122"/>
      <c r="Y57" s="122"/>
      <c r="Z57" s="122"/>
      <c r="AA57" s="165"/>
      <c r="AB57" s="122"/>
      <c r="AC57" s="122"/>
      <c r="AD57" s="122"/>
      <c r="AE57" s="165"/>
      <c r="AF57" s="122"/>
      <c r="AG57" s="122"/>
      <c r="AH57" s="122"/>
      <c r="AI57" s="165"/>
      <c r="AJ57" s="122"/>
    </row>
    <row r="58" spans="1:36" x14ac:dyDescent="0.35">
      <c r="W58" s="164"/>
      <c r="X58" s="122"/>
      <c r="Y58" s="122"/>
      <c r="Z58" s="122"/>
      <c r="AA58" s="165"/>
      <c r="AB58" s="122"/>
      <c r="AC58" s="122"/>
      <c r="AD58" s="122"/>
      <c r="AE58" s="165"/>
      <c r="AF58" s="122"/>
      <c r="AG58" s="122"/>
      <c r="AH58" s="122"/>
      <c r="AI58" s="165"/>
      <c r="AJ58" s="122"/>
    </row>
    <row r="59" spans="1:36" x14ac:dyDescent="0.35">
      <c r="W59" s="164"/>
      <c r="X59" s="122"/>
      <c r="Y59" s="122"/>
      <c r="Z59" s="122"/>
      <c r="AA59" s="165"/>
      <c r="AB59" s="122"/>
      <c r="AC59" s="122"/>
      <c r="AD59" s="122"/>
      <c r="AE59" s="165"/>
      <c r="AF59" s="122"/>
      <c r="AG59" s="122"/>
      <c r="AH59" s="122"/>
      <c r="AI59" s="165"/>
      <c r="AJ59" s="122"/>
    </row>
    <row r="60" spans="1:36" x14ac:dyDescent="0.35">
      <c r="W60" s="164"/>
      <c r="X60" s="122"/>
      <c r="Y60" s="122"/>
      <c r="Z60" s="122"/>
      <c r="AA60" s="165"/>
      <c r="AB60" s="122"/>
      <c r="AC60" s="122"/>
      <c r="AD60" s="122"/>
      <c r="AE60" s="165"/>
      <c r="AF60" s="122"/>
      <c r="AG60" s="122"/>
      <c r="AH60" s="122"/>
      <c r="AI60" s="165"/>
      <c r="AJ60" s="122"/>
    </row>
    <row r="61" spans="1:36" x14ac:dyDescent="0.35">
      <c r="W61" s="164"/>
      <c r="X61" s="122"/>
      <c r="Y61" s="122"/>
      <c r="Z61" s="122"/>
      <c r="AA61" s="165"/>
      <c r="AB61" s="122"/>
      <c r="AC61" s="122"/>
      <c r="AD61" s="122"/>
      <c r="AE61" s="165"/>
      <c r="AF61" s="122"/>
      <c r="AG61" s="122"/>
      <c r="AH61" s="122"/>
      <c r="AI61" s="165"/>
      <c r="AJ61" s="122"/>
    </row>
    <row r="62" spans="1:36" x14ac:dyDescent="0.35">
      <c r="W62" s="164"/>
      <c r="X62" s="122"/>
      <c r="Y62" s="122"/>
      <c r="Z62" s="122"/>
      <c r="AA62" s="165"/>
      <c r="AB62" s="122"/>
      <c r="AC62" s="122"/>
      <c r="AD62" s="122"/>
      <c r="AE62" s="165"/>
      <c r="AF62" s="122"/>
      <c r="AG62" s="122"/>
      <c r="AH62" s="122"/>
      <c r="AI62" s="165"/>
      <c r="AJ62" s="122"/>
    </row>
    <row r="63" spans="1:36" x14ac:dyDescent="0.35">
      <c r="W63" s="164"/>
      <c r="X63" s="122"/>
      <c r="Y63" s="122"/>
      <c r="Z63" s="122"/>
      <c r="AA63" s="165"/>
      <c r="AB63" s="122"/>
      <c r="AC63" s="122"/>
      <c r="AD63" s="122"/>
      <c r="AE63" s="165"/>
      <c r="AF63" s="122"/>
      <c r="AG63" s="122"/>
      <c r="AH63" s="122"/>
      <c r="AI63" s="165"/>
      <c r="AJ63" s="122"/>
    </row>
    <row r="64" spans="1:36" x14ac:dyDescent="0.35">
      <c r="W64" s="164"/>
      <c r="X64" s="122"/>
      <c r="Y64" s="122"/>
      <c r="Z64" s="122"/>
      <c r="AA64" s="165"/>
      <c r="AB64" s="122"/>
      <c r="AC64" s="122"/>
      <c r="AD64" s="122"/>
      <c r="AE64" s="165"/>
      <c r="AF64" s="122"/>
      <c r="AG64" s="122"/>
      <c r="AH64" s="122"/>
      <c r="AI64" s="165"/>
      <c r="AJ64" s="122"/>
    </row>
  </sheetData>
  <mergeCells count="3">
    <mergeCell ref="J11:L11"/>
    <mergeCell ref="N11:P11"/>
    <mergeCell ref="R11:U11"/>
  </mergeCells>
  <phoneticPr fontId="37" type="noConversion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8B5BD-6CF3-4B64-B2BA-2CDEE7CEC239}">
  <dimension ref="A1:L60"/>
  <sheetViews>
    <sheetView topLeftCell="A44" workbookViewId="0">
      <selection activeCell="C60" sqref="C60"/>
    </sheetView>
  </sheetViews>
  <sheetFormatPr defaultRowHeight="14.5" x14ac:dyDescent="0.35"/>
  <cols>
    <col min="2" max="2" width="13.7265625" customWidth="1"/>
    <col min="3" max="3" width="20.08984375" customWidth="1"/>
    <col min="6" max="6" width="26.1796875" customWidth="1"/>
  </cols>
  <sheetData>
    <row r="1" spans="1:6" ht="26" x14ac:dyDescent="0.6">
      <c r="B1" s="96" t="s">
        <v>208</v>
      </c>
      <c r="C1" s="96"/>
      <c r="D1" s="96"/>
      <c r="E1" s="96"/>
      <c r="F1" s="96" t="s">
        <v>209</v>
      </c>
    </row>
    <row r="3" spans="1:6" x14ac:dyDescent="0.35">
      <c r="A3" t="s">
        <v>210</v>
      </c>
    </row>
    <row r="5" spans="1:6" x14ac:dyDescent="0.35">
      <c r="A5" t="s">
        <v>211</v>
      </c>
    </row>
    <row r="6" spans="1:6" x14ac:dyDescent="0.35">
      <c r="A6" t="s">
        <v>212</v>
      </c>
      <c r="B6" t="s">
        <v>213</v>
      </c>
    </row>
    <row r="7" spans="1:6" x14ac:dyDescent="0.35">
      <c r="B7" t="s">
        <v>214</v>
      </c>
    </row>
    <row r="8" spans="1:6" x14ac:dyDescent="0.35">
      <c r="B8" t="s">
        <v>215</v>
      </c>
    </row>
    <row r="9" spans="1:6" x14ac:dyDescent="0.35">
      <c r="B9" t="s">
        <v>216</v>
      </c>
      <c r="C9" t="s">
        <v>217</v>
      </c>
      <c r="F9" t="s">
        <v>218</v>
      </c>
    </row>
    <row r="10" spans="1:6" x14ac:dyDescent="0.35">
      <c r="B10" t="s">
        <v>219</v>
      </c>
      <c r="C10" s="97">
        <v>100000000</v>
      </c>
      <c r="D10" s="97"/>
      <c r="E10" s="97"/>
      <c r="F10" s="97">
        <v>20000000</v>
      </c>
    </row>
    <row r="11" spans="1:6" x14ac:dyDescent="0.35">
      <c r="B11" t="s">
        <v>107</v>
      </c>
      <c r="C11" s="97">
        <v>125000000</v>
      </c>
      <c r="D11" s="97"/>
      <c r="E11" s="97"/>
      <c r="F11" s="97">
        <v>25000000</v>
      </c>
    </row>
    <row r="12" spans="1:6" x14ac:dyDescent="0.35">
      <c r="B12" t="s">
        <v>220</v>
      </c>
      <c r="C12" s="97">
        <v>150000000</v>
      </c>
      <c r="D12" s="97"/>
      <c r="E12" s="97"/>
      <c r="F12" s="97">
        <v>27000000</v>
      </c>
    </row>
    <row r="13" spans="1:6" x14ac:dyDescent="0.35">
      <c r="B13" t="s">
        <v>109</v>
      </c>
      <c r="C13" s="97">
        <v>175000000</v>
      </c>
      <c r="D13" s="97"/>
      <c r="E13" s="97"/>
      <c r="F13" s="97">
        <v>30000000</v>
      </c>
    </row>
    <row r="14" spans="1:6" x14ac:dyDescent="0.35">
      <c r="B14" t="s">
        <v>98</v>
      </c>
      <c r="C14" s="97">
        <v>200000000</v>
      </c>
      <c r="D14" s="97"/>
      <c r="E14" s="97"/>
      <c r="F14" s="97">
        <v>30000000</v>
      </c>
    </row>
    <row r="15" spans="1:6" x14ac:dyDescent="0.35">
      <c r="B15" t="s">
        <v>221</v>
      </c>
      <c r="C15" s="97">
        <v>250000000</v>
      </c>
      <c r="D15" s="97"/>
      <c r="E15" s="97"/>
      <c r="F15" s="97">
        <v>30000000</v>
      </c>
    </row>
    <row r="17" spans="2:4" ht="15.5" x14ac:dyDescent="0.35">
      <c r="B17" t="s">
        <v>222</v>
      </c>
    </row>
    <row r="18" spans="2:4" ht="15.5" x14ac:dyDescent="0.35">
      <c r="B18" t="s">
        <v>223</v>
      </c>
    </row>
    <row r="19" spans="2:4" x14ac:dyDescent="0.35">
      <c r="B19" t="s">
        <v>224</v>
      </c>
    </row>
    <row r="20" spans="2:4" ht="15.5" x14ac:dyDescent="0.35">
      <c r="B20" t="s">
        <v>225</v>
      </c>
    </row>
    <row r="21" spans="2:4" x14ac:dyDescent="0.35">
      <c r="B21" t="s">
        <v>226</v>
      </c>
    </row>
    <row r="22" spans="2:4" x14ac:dyDescent="0.35">
      <c r="B22" t="s">
        <v>227</v>
      </c>
    </row>
    <row r="23" spans="2:4" x14ac:dyDescent="0.35">
      <c r="B23" t="s">
        <v>228</v>
      </c>
    </row>
    <row r="24" spans="2:4" x14ac:dyDescent="0.35">
      <c r="B24" t="s">
        <v>229</v>
      </c>
    </row>
    <row r="25" spans="2:4" ht="15.5" x14ac:dyDescent="0.35">
      <c r="B25" t="s">
        <v>230</v>
      </c>
    </row>
    <row r="26" spans="2:4" x14ac:dyDescent="0.35">
      <c r="B26" t="s">
        <v>231</v>
      </c>
      <c r="C26" t="s">
        <v>232</v>
      </c>
    </row>
    <row r="27" spans="2:4" x14ac:dyDescent="0.35">
      <c r="B27" t="s">
        <v>233</v>
      </c>
      <c r="D27" s="98">
        <v>0.4</v>
      </c>
    </row>
    <row r="28" spans="2:4" x14ac:dyDescent="0.35">
      <c r="B28" t="s">
        <v>234</v>
      </c>
      <c r="D28" s="98">
        <v>0.3</v>
      </c>
    </row>
    <row r="29" spans="2:4" x14ac:dyDescent="0.35">
      <c r="B29" t="s">
        <v>235</v>
      </c>
      <c r="D29" s="98">
        <v>0.2</v>
      </c>
    </row>
    <row r="30" spans="2:4" x14ac:dyDescent="0.35">
      <c r="B30" t="s">
        <v>236</v>
      </c>
      <c r="D30" s="98">
        <v>0.05</v>
      </c>
    </row>
    <row r="31" spans="2:4" x14ac:dyDescent="0.35">
      <c r="B31" t="s">
        <v>237</v>
      </c>
      <c r="D31" s="98">
        <v>0.05</v>
      </c>
    </row>
    <row r="32" spans="2:4" x14ac:dyDescent="0.35">
      <c r="D32" s="98">
        <v>1</v>
      </c>
    </row>
    <row r="34" spans="2:5" ht="15.5" x14ac:dyDescent="0.35">
      <c r="B34" t="s">
        <v>238</v>
      </c>
    </row>
    <row r="35" spans="2:5" x14ac:dyDescent="0.35">
      <c r="B35" t="s">
        <v>239</v>
      </c>
      <c r="E35" t="s">
        <v>240</v>
      </c>
    </row>
    <row r="36" spans="2:5" x14ac:dyDescent="0.35">
      <c r="B36" t="s">
        <v>241</v>
      </c>
      <c r="E36" t="s">
        <v>242</v>
      </c>
    </row>
    <row r="37" spans="2:5" x14ac:dyDescent="0.35">
      <c r="B37" t="s">
        <v>243</v>
      </c>
    </row>
    <row r="38" spans="2:5" x14ac:dyDescent="0.35">
      <c r="B38" t="s">
        <v>244</v>
      </c>
      <c r="E38" t="s">
        <v>245</v>
      </c>
    </row>
    <row r="39" spans="2:5" x14ac:dyDescent="0.35">
      <c r="B39" t="s">
        <v>246</v>
      </c>
      <c r="E39" t="s">
        <v>247</v>
      </c>
    </row>
    <row r="40" spans="2:5" x14ac:dyDescent="0.35">
      <c r="B40" t="s">
        <v>248</v>
      </c>
      <c r="E40" t="s">
        <v>245</v>
      </c>
    </row>
    <row r="41" spans="2:5" x14ac:dyDescent="0.35">
      <c r="B41" t="s">
        <v>249</v>
      </c>
    </row>
    <row r="42" spans="2:5" x14ac:dyDescent="0.35">
      <c r="B42" t="s">
        <v>244</v>
      </c>
      <c r="E42" t="s">
        <v>250</v>
      </c>
    </row>
    <row r="43" spans="2:5" x14ac:dyDescent="0.35">
      <c r="B43" t="s">
        <v>251</v>
      </c>
      <c r="E43" t="s">
        <v>252</v>
      </c>
    </row>
    <row r="44" spans="2:5" x14ac:dyDescent="0.35">
      <c r="B44" t="s">
        <v>253</v>
      </c>
    </row>
    <row r="45" spans="2:5" x14ac:dyDescent="0.35">
      <c r="B45" t="s">
        <v>254</v>
      </c>
    </row>
    <row r="46" spans="2:5" ht="15.5" x14ac:dyDescent="0.35">
      <c r="B46" t="s">
        <v>255</v>
      </c>
    </row>
    <row r="47" spans="2:5" x14ac:dyDescent="0.35">
      <c r="B47" t="s">
        <v>256</v>
      </c>
    </row>
    <row r="48" spans="2:5" x14ac:dyDescent="0.35">
      <c r="B48" t="s">
        <v>257</v>
      </c>
      <c r="C48" s="97">
        <v>67000000</v>
      </c>
    </row>
    <row r="49" spans="2:12" x14ac:dyDescent="0.35">
      <c r="B49" t="s">
        <v>258</v>
      </c>
      <c r="C49" s="97">
        <v>67500000</v>
      </c>
    </row>
    <row r="50" spans="2:12" x14ac:dyDescent="0.35">
      <c r="B50" t="s">
        <v>259</v>
      </c>
      <c r="C50" s="97">
        <v>65500000</v>
      </c>
    </row>
    <row r="51" spans="2:12" x14ac:dyDescent="0.35">
      <c r="B51" t="s">
        <v>260</v>
      </c>
      <c r="C51" s="97">
        <v>69000000</v>
      </c>
    </row>
    <row r="52" spans="2:12" x14ac:dyDescent="0.35">
      <c r="B52" t="s">
        <v>261</v>
      </c>
      <c r="C52" s="97">
        <v>67000000</v>
      </c>
    </row>
    <row r="53" spans="2:12" x14ac:dyDescent="0.35">
      <c r="B53" t="s">
        <v>262</v>
      </c>
      <c r="C53" s="97">
        <v>71000000</v>
      </c>
    </row>
    <row r="54" spans="2:12" ht="15.5" x14ac:dyDescent="0.35">
      <c r="B54" t="s">
        <v>263</v>
      </c>
    </row>
    <row r="55" spans="2:12" x14ac:dyDescent="0.35">
      <c r="B55" t="s">
        <v>264</v>
      </c>
    </row>
    <row r="56" spans="2:12" ht="15.5" x14ac:dyDescent="0.35">
      <c r="B56" t="s">
        <v>265</v>
      </c>
    </row>
    <row r="58" spans="2:12" x14ac:dyDescent="0.35">
      <c r="B58" t="s">
        <v>0</v>
      </c>
    </row>
    <row r="59" spans="2:12" x14ac:dyDescent="0.35">
      <c r="B59" t="s">
        <v>266</v>
      </c>
    </row>
    <row r="60" spans="2:12" x14ac:dyDescent="0.35">
      <c r="L60" t="s">
        <v>267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37012-6FDE-4A9B-9EC9-5E4E556C02B2}">
  <dimension ref="A1:J28"/>
  <sheetViews>
    <sheetView tabSelected="1" workbookViewId="0">
      <selection activeCell="A26" sqref="A26"/>
    </sheetView>
  </sheetViews>
  <sheetFormatPr defaultColWidth="9.1796875" defaultRowHeight="14" x14ac:dyDescent="0.3"/>
  <cols>
    <col min="1" max="1" width="24" style="34" customWidth="1"/>
    <col min="2" max="2" width="27.08984375" style="34" bestFit="1" customWidth="1"/>
    <col min="3" max="3" width="27" style="34" customWidth="1"/>
    <col min="4" max="4" width="9.1796875" style="34"/>
    <col min="5" max="5" width="12.7265625" style="34" customWidth="1"/>
    <col min="6" max="6" width="18.54296875" style="34" customWidth="1"/>
    <col min="7" max="7" width="26" style="34" customWidth="1"/>
    <col min="8" max="8" width="23.54296875" style="34" customWidth="1"/>
    <col min="9" max="9" width="14.54296875" style="34" customWidth="1"/>
    <col min="10" max="10" width="16.54296875" style="34" customWidth="1"/>
    <col min="11" max="16384" width="9.1796875" style="34"/>
  </cols>
  <sheetData>
    <row r="1" spans="1:10" ht="20.5" x14ac:dyDescent="0.45">
      <c r="A1" s="3" t="s">
        <v>74</v>
      </c>
      <c r="B1" s="3"/>
      <c r="C1" s="4"/>
      <c r="D1" s="4"/>
      <c r="E1" s="4"/>
      <c r="F1" s="4"/>
      <c r="G1" s="4"/>
      <c r="H1" s="4"/>
      <c r="I1" s="1"/>
      <c r="J1" s="1"/>
    </row>
    <row r="2" spans="1:10" ht="21" thickBot="1" x14ac:dyDescent="0.5">
      <c r="A2" s="4" t="s">
        <v>269</v>
      </c>
      <c r="B2" s="4"/>
      <c r="C2" s="4"/>
      <c r="D2" s="4"/>
      <c r="E2" s="4"/>
      <c r="F2" s="3"/>
      <c r="G2" s="4"/>
      <c r="H2" s="4"/>
      <c r="I2" s="1"/>
      <c r="J2" s="1"/>
    </row>
    <row r="3" spans="1:10" ht="20.5" x14ac:dyDescent="0.45">
      <c r="A3" s="4"/>
      <c r="B3" s="4"/>
      <c r="C3" s="4"/>
      <c r="D3" s="4"/>
      <c r="E3" s="117" t="s">
        <v>133</v>
      </c>
      <c r="F3" s="117"/>
      <c r="G3" s="117" t="s">
        <v>271</v>
      </c>
      <c r="H3" s="117"/>
      <c r="I3" s="1"/>
      <c r="J3" s="1"/>
    </row>
    <row r="4" spans="1:10" ht="20.5" x14ac:dyDescent="0.45">
      <c r="A4" s="4" t="s">
        <v>270</v>
      </c>
      <c r="B4" s="4"/>
      <c r="C4" s="4"/>
      <c r="D4" s="4"/>
      <c r="E4" s="115"/>
      <c r="F4" s="115"/>
      <c r="G4" s="115"/>
      <c r="H4" s="115"/>
      <c r="I4" s="1"/>
      <c r="J4" s="1"/>
    </row>
    <row r="5" spans="1:10" ht="20.5" x14ac:dyDescent="0.45">
      <c r="A5" s="4"/>
      <c r="B5" s="4"/>
      <c r="C5" s="4"/>
      <c r="D5" s="4"/>
      <c r="E5" s="115" t="s">
        <v>348</v>
      </c>
      <c r="F5" s="115">
        <v>810000</v>
      </c>
      <c r="G5" s="115" t="s">
        <v>348</v>
      </c>
      <c r="H5" s="115">
        <v>93000</v>
      </c>
      <c r="I5" s="1"/>
      <c r="J5" s="1"/>
    </row>
    <row r="6" spans="1:10" ht="20.5" x14ac:dyDescent="0.45">
      <c r="A6" s="4"/>
      <c r="B6" s="3" t="s">
        <v>133</v>
      </c>
      <c r="C6" s="3" t="s">
        <v>271</v>
      </c>
      <c r="D6" s="4"/>
      <c r="E6" s="115" t="s">
        <v>328</v>
      </c>
      <c r="F6" s="115">
        <v>92392.443610739283</v>
      </c>
      <c r="G6" s="115" t="s">
        <v>328</v>
      </c>
      <c r="H6" s="115">
        <v>8986.5218943468772</v>
      </c>
      <c r="I6" s="1"/>
      <c r="J6" s="1"/>
    </row>
    <row r="7" spans="1:10" ht="20.5" x14ac:dyDescent="0.45">
      <c r="A7" s="102">
        <v>45292</v>
      </c>
      <c r="B7" s="103">
        <v>600000</v>
      </c>
      <c r="C7" s="78">
        <v>72000</v>
      </c>
      <c r="D7" s="4"/>
      <c r="E7" s="115" t="s">
        <v>349</v>
      </c>
      <c r="F7" s="115">
        <v>760000</v>
      </c>
      <c r="G7" s="115" t="s">
        <v>349</v>
      </c>
      <c r="H7" s="115">
        <v>94000</v>
      </c>
      <c r="I7" s="1"/>
      <c r="J7" s="1"/>
    </row>
    <row r="8" spans="1:10" ht="20.5" x14ac:dyDescent="0.45">
      <c r="A8" s="102">
        <v>45323</v>
      </c>
      <c r="B8" s="103">
        <v>480000</v>
      </c>
      <c r="C8" s="78">
        <v>56000</v>
      </c>
      <c r="D8" s="4"/>
      <c r="E8" s="115" t="s">
        <v>350</v>
      </c>
      <c r="F8" s="115">
        <v>480000</v>
      </c>
      <c r="G8" s="115" t="s">
        <v>350</v>
      </c>
      <c r="H8" s="115" t="e">
        <v>#N/A</v>
      </c>
      <c r="I8" s="1"/>
      <c r="J8" s="1"/>
    </row>
    <row r="9" spans="1:10" ht="20.5" x14ac:dyDescent="0.45">
      <c r="A9" s="102">
        <v>45352</v>
      </c>
      <c r="B9" s="103">
        <v>800000</v>
      </c>
      <c r="C9" s="78">
        <v>92000</v>
      </c>
      <c r="D9" s="4"/>
      <c r="E9" s="115" t="s">
        <v>351</v>
      </c>
      <c r="F9" s="115">
        <v>320056.81313848583</v>
      </c>
      <c r="G9" s="115" t="s">
        <v>351</v>
      </c>
      <c r="H9" s="115">
        <v>31130.225008677808</v>
      </c>
      <c r="I9" s="1"/>
      <c r="J9" s="1"/>
    </row>
    <row r="10" spans="1:10" ht="20.5" x14ac:dyDescent="0.45">
      <c r="A10" s="102">
        <v>45383</v>
      </c>
      <c r="B10" s="103">
        <v>680000</v>
      </c>
      <c r="C10" s="78">
        <v>76000</v>
      </c>
      <c r="D10" s="4"/>
      <c r="E10" s="115" t="s">
        <v>352</v>
      </c>
      <c r="F10" s="115">
        <v>102436363636.36363</v>
      </c>
      <c r="G10" s="115" t="s">
        <v>352</v>
      </c>
      <c r="H10" s="115">
        <v>969090909.09090912</v>
      </c>
      <c r="I10" s="1"/>
      <c r="J10" s="1"/>
    </row>
    <row r="11" spans="1:10" ht="20.5" x14ac:dyDescent="0.45">
      <c r="A11" s="102">
        <v>45413</v>
      </c>
      <c r="B11" s="103">
        <v>480000</v>
      </c>
      <c r="C11" s="78">
        <v>64000</v>
      </c>
      <c r="D11" s="4"/>
      <c r="E11" s="115" t="s">
        <v>353</v>
      </c>
      <c r="F11" s="115">
        <v>-0.70120976791726486</v>
      </c>
      <c r="G11" s="115" t="s">
        <v>353</v>
      </c>
      <c r="H11" s="115">
        <v>-1.0547543434158544</v>
      </c>
      <c r="I11" s="1"/>
      <c r="J11" s="1"/>
    </row>
    <row r="12" spans="1:10" ht="20.5" x14ac:dyDescent="0.45">
      <c r="A12" s="102">
        <v>45444</v>
      </c>
      <c r="B12" s="103">
        <v>1000000</v>
      </c>
      <c r="C12" s="78">
        <v>120000</v>
      </c>
      <c r="D12" s="4"/>
      <c r="E12" s="115" t="s">
        <v>354</v>
      </c>
      <c r="F12" s="115">
        <v>0.42093165712470382</v>
      </c>
      <c r="G12" s="115" t="s">
        <v>354</v>
      </c>
      <c r="H12" s="115">
        <v>1.4146227160221901E-2</v>
      </c>
      <c r="I12" s="1"/>
      <c r="J12" s="1"/>
    </row>
    <row r="13" spans="1:10" ht="20.5" x14ac:dyDescent="0.45">
      <c r="A13" s="102">
        <v>45474</v>
      </c>
      <c r="B13" s="103">
        <v>880000</v>
      </c>
      <c r="C13" s="78">
        <v>108000</v>
      </c>
      <c r="D13" s="4"/>
      <c r="E13" s="115" t="s">
        <v>355</v>
      </c>
      <c r="F13" s="115">
        <v>1040000</v>
      </c>
      <c r="G13" s="115" t="s">
        <v>355</v>
      </c>
      <c r="H13" s="115">
        <v>100000</v>
      </c>
      <c r="I13" s="1"/>
      <c r="J13" s="1"/>
    </row>
    <row r="14" spans="1:10" ht="20.5" x14ac:dyDescent="0.45">
      <c r="A14" s="102">
        <v>45505</v>
      </c>
      <c r="B14" s="103">
        <v>360000</v>
      </c>
      <c r="C14" s="78">
        <v>44000</v>
      </c>
      <c r="D14" s="4"/>
      <c r="E14" s="115" t="s">
        <v>356</v>
      </c>
      <c r="F14" s="115">
        <v>360000</v>
      </c>
      <c r="G14" s="115" t="s">
        <v>356</v>
      </c>
      <c r="H14" s="115">
        <v>44000</v>
      </c>
      <c r="I14" s="1"/>
      <c r="J14" s="1"/>
    </row>
    <row r="15" spans="1:10" ht="20.5" x14ac:dyDescent="0.45">
      <c r="A15" s="102">
        <v>45536</v>
      </c>
      <c r="B15" s="103">
        <v>720000</v>
      </c>
      <c r="C15" s="78">
        <v>96000</v>
      </c>
      <c r="D15" s="4"/>
      <c r="E15" s="115" t="s">
        <v>357</v>
      </c>
      <c r="F15" s="115">
        <v>1400000</v>
      </c>
      <c r="G15" s="115" t="s">
        <v>357</v>
      </c>
      <c r="H15" s="115">
        <v>144000</v>
      </c>
      <c r="I15" s="1"/>
      <c r="J15" s="1"/>
    </row>
    <row r="16" spans="1:10" ht="20.5" x14ac:dyDescent="0.45">
      <c r="A16" s="102">
        <v>45566</v>
      </c>
      <c r="B16" s="103">
        <v>1200000</v>
      </c>
      <c r="C16" s="78">
        <v>128000</v>
      </c>
      <c r="D16" s="4"/>
      <c r="E16" s="115" t="s">
        <v>358</v>
      </c>
      <c r="F16" s="115">
        <v>9720000</v>
      </c>
      <c r="G16" s="115" t="s">
        <v>358</v>
      </c>
      <c r="H16" s="115">
        <v>1116000</v>
      </c>
      <c r="I16" s="1"/>
      <c r="J16" s="1"/>
    </row>
    <row r="17" spans="1:10" ht="20.5" x14ac:dyDescent="0.45">
      <c r="A17" s="102">
        <v>45597</v>
      </c>
      <c r="B17" s="103">
        <v>1120000</v>
      </c>
      <c r="C17" s="78">
        <v>116000</v>
      </c>
      <c r="D17" s="4"/>
      <c r="E17" s="115" t="s">
        <v>359</v>
      </c>
      <c r="F17" s="115">
        <v>12</v>
      </c>
      <c r="G17" s="115" t="s">
        <v>359</v>
      </c>
      <c r="H17" s="115">
        <v>12</v>
      </c>
      <c r="I17" s="1"/>
      <c r="J17" s="1"/>
    </row>
    <row r="18" spans="1:10" ht="20.5" x14ac:dyDescent="0.45">
      <c r="A18" s="102">
        <v>45627</v>
      </c>
      <c r="B18" s="103">
        <v>1400000</v>
      </c>
      <c r="C18" s="78">
        <v>144000</v>
      </c>
      <c r="D18" s="4"/>
      <c r="E18" s="115" t="s">
        <v>360</v>
      </c>
      <c r="F18" s="115">
        <v>1400000</v>
      </c>
      <c r="G18" s="115" t="s">
        <v>360</v>
      </c>
      <c r="H18" s="115">
        <v>144000</v>
      </c>
      <c r="I18" s="1"/>
      <c r="J18" s="1"/>
    </row>
    <row r="19" spans="1:10" ht="21" thickBot="1" x14ac:dyDescent="0.5">
      <c r="D19" s="4"/>
      <c r="E19" s="116" t="s">
        <v>361</v>
      </c>
      <c r="F19" s="116">
        <v>360000</v>
      </c>
      <c r="G19" s="116" t="s">
        <v>361</v>
      </c>
      <c r="H19" s="116">
        <v>44000</v>
      </c>
      <c r="I19" s="1"/>
      <c r="J19" s="1"/>
    </row>
    <row r="20" spans="1:10" ht="20.5" x14ac:dyDescent="0.45">
      <c r="A20" s="4"/>
      <c r="B20" s="104"/>
      <c r="C20" s="4"/>
      <c r="D20" s="4"/>
      <c r="E20" s="4"/>
      <c r="F20" s="4"/>
      <c r="G20" s="4"/>
      <c r="H20" s="4"/>
      <c r="I20" s="1"/>
      <c r="J20" s="1"/>
    </row>
    <row r="21" spans="1:10" ht="20.5" x14ac:dyDescent="0.45">
      <c r="A21" s="3" t="s">
        <v>0</v>
      </c>
      <c r="B21" s="105"/>
      <c r="C21" s="4"/>
      <c r="D21" s="4"/>
      <c r="E21" s="4"/>
      <c r="F21" s="4"/>
      <c r="G21" s="4"/>
      <c r="H21" s="4"/>
      <c r="I21" s="1"/>
      <c r="J21" s="1"/>
    </row>
    <row r="22" spans="1:10" ht="20.5" x14ac:dyDescent="0.45">
      <c r="A22" s="4" t="s">
        <v>272</v>
      </c>
      <c r="B22" s="105"/>
      <c r="C22" s="4"/>
      <c r="D22" s="4"/>
      <c r="E22" s="4"/>
      <c r="F22" s="4"/>
      <c r="G22" s="4"/>
      <c r="H22" s="81" t="s">
        <v>11</v>
      </c>
      <c r="I22" s="1"/>
      <c r="J22" s="1"/>
    </row>
    <row r="23" spans="1:10" ht="20.5" x14ac:dyDescent="0.45">
      <c r="A23" s="4"/>
      <c r="B23" s="105"/>
      <c r="C23" s="4"/>
      <c r="D23" s="4"/>
      <c r="E23" s="4"/>
      <c r="F23" s="4"/>
      <c r="G23" s="4"/>
      <c r="H23" s="81"/>
      <c r="I23" s="1"/>
      <c r="J23" s="1"/>
    </row>
    <row r="24" spans="1:10" ht="20.5" x14ac:dyDescent="0.45">
      <c r="A24" s="4" t="s">
        <v>273</v>
      </c>
      <c r="B24" s="105"/>
      <c r="C24" s="4"/>
      <c r="D24" s="4"/>
      <c r="E24" s="4"/>
      <c r="F24" s="4"/>
      <c r="G24" s="4"/>
      <c r="H24" s="81" t="s">
        <v>15</v>
      </c>
      <c r="I24" s="1"/>
      <c r="J24" s="1"/>
    </row>
    <row r="25" spans="1:10" ht="20.5" x14ac:dyDescent="0.45">
      <c r="A25" s="4"/>
      <c r="B25" s="105"/>
      <c r="C25" s="4"/>
      <c r="D25" s="4"/>
      <c r="E25" s="4"/>
      <c r="F25" s="4"/>
      <c r="G25" s="4"/>
      <c r="H25" s="81"/>
      <c r="I25" s="1"/>
      <c r="J25" s="1"/>
    </row>
    <row r="26" spans="1:10" ht="20.5" x14ac:dyDescent="0.45">
      <c r="A26" s="4" t="s">
        <v>274</v>
      </c>
      <c r="B26" s="105"/>
      <c r="C26" s="4"/>
      <c r="D26" s="4"/>
      <c r="E26" s="4"/>
      <c r="F26" s="4"/>
      <c r="G26" s="4"/>
      <c r="H26" s="81" t="s">
        <v>11</v>
      </c>
      <c r="I26" s="1"/>
      <c r="J26" s="1"/>
    </row>
    <row r="27" spans="1:10" ht="20.5" x14ac:dyDescent="0.45">
      <c r="A27" s="4"/>
      <c r="B27" s="104"/>
      <c r="C27" s="4"/>
      <c r="D27" s="4"/>
      <c r="E27" s="4"/>
      <c r="F27" s="4"/>
      <c r="G27" s="4"/>
      <c r="H27" s="82" t="s">
        <v>12</v>
      </c>
      <c r="I27" s="1"/>
      <c r="J27" s="1"/>
    </row>
    <row r="28" spans="1:10" ht="20.5" x14ac:dyDescent="0.45">
      <c r="A28" s="4"/>
      <c r="B28" s="4"/>
      <c r="C28" s="4"/>
      <c r="D28" s="4"/>
      <c r="E28" s="4"/>
      <c r="F28" s="4"/>
      <c r="G28" s="106"/>
      <c r="H28" s="4"/>
      <c r="I28" s="1"/>
      <c r="J28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418E-C55C-414E-A46F-2493E9B2D5DE}">
  <dimension ref="A1"/>
  <sheetViews>
    <sheetView topLeftCell="A16" workbookViewId="0">
      <selection activeCell="E26" sqref="E26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5B535-ED37-4485-A215-1F4AF9FD71B5}">
  <dimension ref="A1:BH81"/>
  <sheetViews>
    <sheetView topLeftCell="AZ1" zoomScale="90" zoomScaleNormal="90" workbookViewId="0">
      <selection activeCell="BD12" sqref="BD12"/>
    </sheetView>
  </sheetViews>
  <sheetFormatPr defaultRowHeight="14.5" x14ac:dyDescent="0.35"/>
  <cols>
    <col min="1" max="1" width="6.54296875" customWidth="1"/>
    <col min="3" max="3" width="30.26953125" customWidth="1"/>
    <col min="4" max="4" width="22" bestFit="1" customWidth="1"/>
    <col min="5" max="5" width="13.6328125" bestFit="1" customWidth="1"/>
    <col min="6" max="6" width="21.6328125" bestFit="1" customWidth="1"/>
    <col min="7" max="7" width="19.1796875" bestFit="1" customWidth="1"/>
    <col min="8" max="8" width="21.54296875" bestFit="1" customWidth="1"/>
    <col min="9" max="9" width="24.6328125" customWidth="1"/>
    <col min="10" max="10" width="18.36328125" customWidth="1"/>
    <col min="11" max="11" width="17.453125" bestFit="1" customWidth="1"/>
    <col min="12" max="12" width="12.453125" customWidth="1"/>
    <col min="13" max="13" width="12.81640625" customWidth="1"/>
    <col min="14" max="14" width="11.1796875" customWidth="1"/>
    <col min="15" max="15" width="13.08984375" customWidth="1"/>
    <col min="16" max="19" width="11.1796875" customWidth="1"/>
    <col min="20" max="20" width="17.26953125" bestFit="1" customWidth="1"/>
    <col min="21" max="21" width="22.54296875" bestFit="1" customWidth="1"/>
    <col min="22" max="22" width="12.453125" bestFit="1" customWidth="1"/>
    <col min="23" max="23" width="16.81640625" bestFit="1" customWidth="1"/>
    <col min="24" max="25" width="12.453125" bestFit="1" customWidth="1"/>
    <col min="26" max="26" width="11.81640625" bestFit="1" customWidth="1"/>
    <col min="27" max="28" width="12" bestFit="1" customWidth="1"/>
    <col min="29" max="45" width="11.1796875" customWidth="1"/>
    <col min="49" max="49" width="14.453125" customWidth="1"/>
    <col min="50" max="50" width="13.54296875" customWidth="1"/>
    <col min="51" max="51" width="14.7265625" customWidth="1"/>
    <col min="52" max="52" width="32.453125" bestFit="1" customWidth="1"/>
    <col min="53" max="54" width="14.7265625" customWidth="1"/>
    <col min="56" max="56" width="44.08984375" bestFit="1" customWidth="1"/>
    <col min="57" max="57" width="12.453125" bestFit="1" customWidth="1"/>
    <col min="58" max="58" width="11.81640625" bestFit="1" customWidth="1"/>
    <col min="59" max="59" width="12.453125" bestFit="1" customWidth="1"/>
    <col min="60" max="60" width="12" bestFit="1" customWidth="1"/>
  </cols>
  <sheetData>
    <row r="1" spans="1:56" x14ac:dyDescent="0.35">
      <c r="U1" s="117" t="s">
        <v>96</v>
      </c>
      <c r="V1" s="117"/>
      <c r="W1" s="117" t="s">
        <v>97</v>
      </c>
      <c r="X1" s="117"/>
    </row>
    <row r="2" spans="1:56" x14ac:dyDescent="0.35">
      <c r="A2" s="147" t="s">
        <v>2</v>
      </c>
      <c r="B2" s="147"/>
      <c r="C2" s="147"/>
      <c r="D2" s="147"/>
      <c r="U2" s="115"/>
      <c r="V2" s="115"/>
      <c r="W2" s="115"/>
      <c r="X2" s="115"/>
    </row>
    <row r="3" spans="1:56" x14ac:dyDescent="0.35">
      <c r="A3" s="8" t="s">
        <v>6</v>
      </c>
      <c r="B3" s="18"/>
      <c r="C3" s="18"/>
      <c r="D3" s="18"/>
      <c r="U3" s="115" t="s">
        <v>348</v>
      </c>
      <c r="V3" s="115">
        <v>202500</v>
      </c>
      <c r="W3" s="115" t="s">
        <v>348</v>
      </c>
      <c r="X3" s="115">
        <v>23250000</v>
      </c>
    </row>
    <row r="4" spans="1:56" x14ac:dyDescent="0.35">
      <c r="A4" s="10" t="s">
        <v>92</v>
      </c>
      <c r="H4" t="s">
        <v>299</v>
      </c>
      <c r="I4">
        <f>INTERCEPT(E10:E21,D10:D21)</f>
        <v>3977635.782747604</v>
      </c>
      <c r="U4" s="115" t="s">
        <v>328</v>
      </c>
      <c r="V4" s="115">
        <v>23098.110902684821</v>
      </c>
      <c r="W4" s="115" t="s">
        <v>328</v>
      </c>
      <c r="X4" s="115">
        <v>2246630.473586719</v>
      </c>
      <c r="BA4" t="s">
        <v>320</v>
      </c>
    </row>
    <row r="5" spans="1:56" x14ac:dyDescent="0.35">
      <c r="A5" s="9" t="s">
        <v>93</v>
      </c>
      <c r="H5" t="s">
        <v>300</v>
      </c>
      <c r="I5">
        <f>SLOPE(E10:E21,D10:D21)</f>
        <v>95.172168974085906</v>
      </c>
      <c r="U5" s="115" t="s">
        <v>349</v>
      </c>
      <c r="V5" s="115">
        <v>190000</v>
      </c>
      <c r="W5" s="115" t="s">
        <v>349</v>
      </c>
      <c r="X5" s="115">
        <v>23500000</v>
      </c>
      <c r="BA5" t="s">
        <v>321</v>
      </c>
    </row>
    <row r="6" spans="1:56" ht="17.5" x14ac:dyDescent="0.45">
      <c r="A6" s="46"/>
      <c r="H6" t="s">
        <v>362</v>
      </c>
      <c r="I6">
        <f>I8*I8</f>
        <v>0.95743559106763299</v>
      </c>
      <c r="K6" t="s">
        <v>365</v>
      </c>
      <c r="L6" s="120">
        <f>I6</f>
        <v>0.95743559106763299</v>
      </c>
      <c r="U6" s="115" t="s">
        <v>350</v>
      </c>
      <c r="V6" s="115">
        <v>120000</v>
      </c>
      <c r="W6" s="115" t="s">
        <v>350</v>
      </c>
      <c r="X6" s="115" t="e">
        <v>#N/A</v>
      </c>
      <c r="BA6" t="s">
        <v>322</v>
      </c>
      <c r="BD6" t="s">
        <v>277</v>
      </c>
    </row>
    <row r="7" spans="1:56" x14ac:dyDescent="0.35">
      <c r="A7" s="14" t="s">
        <v>94</v>
      </c>
      <c r="K7" t="s">
        <v>366</v>
      </c>
      <c r="L7" s="120">
        <f>1-L6</f>
        <v>4.2564408932367015E-2</v>
      </c>
      <c r="U7" s="115" t="s">
        <v>351</v>
      </c>
      <c r="V7" s="115">
        <v>80014.203284621457</v>
      </c>
      <c r="W7" s="115" t="s">
        <v>351</v>
      </c>
      <c r="X7" s="115">
        <v>7782556.2521694517</v>
      </c>
      <c r="AZ7" t="s">
        <v>317</v>
      </c>
      <c r="BD7" t="s">
        <v>285</v>
      </c>
    </row>
    <row r="8" spans="1:56" ht="26" customHeight="1" x14ac:dyDescent="0.35">
      <c r="A8" s="14"/>
      <c r="C8" s="101" t="s">
        <v>95</v>
      </c>
      <c r="D8" s="110" t="s">
        <v>290</v>
      </c>
      <c r="E8" s="11" t="s">
        <v>280</v>
      </c>
      <c r="F8" s="110"/>
      <c r="G8" s="110"/>
      <c r="H8" t="s">
        <v>363</v>
      </c>
      <c r="I8">
        <f>CORREL(D10:D21,E10:E21)</f>
        <v>0.97848637755853962</v>
      </c>
      <c r="J8" t="s">
        <v>364</v>
      </c>
      <c r="L8" s="110"/>
      <c r="M8" s="110"/>
      <c r="N8" s="110"/>
      <c r="O8" s="110"/>
      <c r="P8" s="110"/>
      <c r="Q8" s="110"/>
      <c r="R8" s="110"/>
      <c r="S8" s="110"/>
      <c r="U8" s="115" t="s">
        <v>352</v>
      </c>
      <c r="V8" s="115">
        <v>6402272727.272727</v>
      </c>
      <c r="W8" s="115" t="s">
        <v>352</v>
      </c>
      <c r="X8" s="115">
        <v>60568181818181.82</v>
      </c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W8" t="s">
        <v>288</v>
      </c>
      <c r="AX8" t="s">
        <v>316</v>
      </c>
      <c r="AZ8" t="s">
        <v>319</v>
      </c>
      <c r="BA8" s="114">
        <v>0.95</v>
      </c>
      <c r="BB8" s="114">
        <v>0.85</v>
      </c>
      <c r="BD8" t="s">
        <v>275</v>
      </c>
    </row>
    <row r="9" spans="1:56" x14ac:dyDescent="0.35">
      <c r="C9" s="101"/>
      <c r="D9" s="110" t="s">
        <v>96</v>
      </c>
      <c r="E9" s="110" t="s">
        <v>97</v>
      </c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U9" s="115" t="s">
        <v>353</v>
      </c>
      <c r="V9" s="115">
        <v>-0.70120976791726486</v>
      </c>
      <c r="W9" s="115" t="s">
        <v>353</v>
      </c>
      <c r="X9" s="115">
        <v>-1.0547543434158544</v>
      </c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W9" s="107" t="s">
        <v>290</v>
      </c>
      <c r="AX9" s="107" t="s">
        <v>280</v>
      </c>
      <c r="AZ9" t="s">
        <v>312</v>
      </c>
      <c r="BA9" s="107">
        <f>SLOPE(AX10:AX15,AW10:AW15)</f>
        <v>14.014989293361884</v>
      </c>
      <c r="BB9" s="107"/>
      <c r="BD9" t="s">
        <v>276</v>
      </c>
    </row>
    <row r="10" spans="1:56" x14ac:dyDescent="0.35">
      <c r="C10" s="48" t="s">
        <v>98</v>
      </c>
      <c r="D10" s="119">
        <v>150000</v>
      </c>
      <c r="E10" s="119">
        <v>18000000</v>
      </c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U10" s="115" t="s">
        <v>354</v>
      </c>
      <c r="V10" s="115">
        <v>0.42093165712470382</v>
      </c>
      <c r="W10" s="115" t="s">
        <v>354</v>
      </c>
      <c r="X10" s="115">
        <v>1.4146227160221706E-2</v>
      </c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V10" t="s">
        <v>292</v>
      </c>
      <c r="AW10">
        <v>18</v>
      </c>
      <c r="AX10">
        <v>150</v>
      </c>
      <c r="AZ10" t="s">
        <v>313</v>
      </c>
      <c r="BA10">
        <f>INTERCEPT(AX10:AX15,AW10:AW15)</f>
        <v>-21.473947180585299</v>
      </c>
      <c r="BD10" t="s">
        <v>279</v>
      </c>
    </row>
    <row r="11" spans="1:56" x14ac:dyDescent="0.35">
      <c r="C11" s="48" t="s">
        <v>99</v>
      </c>
      <c r="D11" s="119">
        <v>120000</v>
      </c>
      <c r="E11" s="119">
        <v>14000000</v>
      </c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U11" s="115" t="s">
        <v>355</v>
      </c>
      <c r="V11" s="115">
        <v>260000</v>
      </c>
      <c r="W11" s="115" t="s">
        <v>355</v>
      </c>
      <c r="X11" s="115">
        <v>25000000</v>
      </c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V11" t="s">
        <v>293</v>
      </c>
      <c r="AW11">
        <v>14</v>
      </c>
      <c r="AX11">
        <v>140</v>
      </c>
      <c r="AZ11" t="s">
        <v>315</v>
      </c>
      <c r="BA11">
        <f>CORREL(AX10:AX15,AW10:AW15)</f>
        <v>0.70293226995003644</v>
      </c>
      <c r="BD11" t="s">
        <v>278</v>
      </c>
    </row>
    <row r="12" spans="1:56" ht="16.5" x14ac:dyDescent="0.35">
      <c r="C12" s="48" t="s">
        <v>100</v>
      </c>
      <c r="D12" s="119">
        <v>200000</v>
      </c>
      <c r="E12" s="119">
        <v>23000000</v>
      </c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U12" s="115" t="s">
        <v>356</v>
      </c>
      <c r="V12" s="115">
        <v>90000</v>
      </c>
      <c r="W12" s="115" t="s">
        <v>356</v>
      </c>
      <c r="X12" s="115">
        <v>11000000</v>
      </c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V12" t="s">
        <v>294</v>
      </c>
      <c r="AW12">
        <v>23</v>
      </c>
      <c r="AX12">
        <v>400</v>
      </c>
      <c r="AZ12" t="s">
        <v>314</v>
      </c>
      <c r="BA12" s="113">
        <f>BA11*BA11</f>
        <v>0.49411377613711088</v>
      </c>
      <c r="BB12" s="113">
        <f>1-BA12</f>
        <v>0.50588622386288917</v>
      </c>
      <c r="BD12" t="s">
        <v>289</v>
      </c>
    </row>
    <row r="13" spans="1:56" x14ac:dyDescent="0.35">
      <c r="C13" s="48" t="s">
        <v>101</v>
      </c>
      <c r="D13" s="119">
        <v>170000</v>
      </c>
      <c r="E13" s="119">
        <v>19000000</v>
      </c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U13" s="115" t="s">
        <v>357</v>
      </c>
      <c r="V13" s="115">
        <v>350000</v>
      </c>
      <c r="W13" s="115" t="s">
        <v>357</v>
      </c>
      <c r="X13" s="115">
        <v>36000000</v>
      </c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V13" t="s">
        <v>295</v>
      </c>
      <c r="AW13">
        <v>19</v>
      </c>
      <c r="AX13">
        <v>390</v>
      </c>
      <c r="BD13" t="s">
        <v>281</v>
      </c>
    </row>
    <row r="14" spans="1:56" ht="16.5" x14ac:dyDescent="0.35">
      <c r="A14" s="12"/>
      <c r="C14" s="48" t="s">
        <v>102</v>
      </c>
      <c r="D14" s="119">
        <v>120000</v>
      </c>
      <c r="E14" s="119">
        <v>16000000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U14" s="115" t="s">
        <v>358</v>
      </c>
      <c r="V14" s="115">
        <v>2430000</v>
      </c>
      <c r="W14" s="115" t="s">
        <v>358</v>
      </c>
      <c r="X14" s="115">
        <v>279000000</v>
      </c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V14" t="s">
        <v>296</v>
      </c>
      <c r="AW14">
        <v>16</v>
      </c>
      <c r="AX14">
        <v>135</v>
      </c>
      <c r="AZ14" t="s">
        <v>318</v>
      </c>
      <c r="BA14" s="107" t="s">
        <v>310</v>
      </c>
      <c r="BB14" s="107" t="s">
        <v>311</v>
      </c>
      <c r="BD14" t="s">
        <v>282</v>
      </c>
    </row>
    <row r="15" spans="1:56" x14ac:dyDescent="0.35">
      <c r="C15" s="48" t="s">
        <v>103</v>
      </c>
      <c r="D15" s="119">
        <v>250000</v>
      </c>
      <c r="E15" s="119">
        <v>30000000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U15" s="115" t="s">
        <v>359</v>
      </c>
      <c r="V15" s="115">
        <v>12</v>
      </c>
      <c r="W15" s="115" t="s">
        <v>359</v>
      </c>
      <c r="X15" s="115">
        <v>12</v>
      </c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V15" t="s">
        <v>297</v>
      </c>
      <c r="AW15">
        <v>33</v>
      </c>
      <c r="AX15">
        <v>380</v>
      </c>
      <c r="BA15">
        <f t="shared" ref="BA15:BA20" si="0">AW10*AW10</f>
        <v>324</v>
      </c>
      <c r="BB15">
        <f t="shared" ref="BB15:BB20" si="1">AW10*AX10</f>
        <v>2700</v>
      </c>
      <c r="BD15" t="s">
        <v>283</v>
      </c>
    </row>
    <row r="16" spans="1:56" x14ac:dyDescent="0.35">
      <c r="C16" s="48" t="s">
        <v>104</v>
      </c>
      <c r="D16" s="119">
        <v>220000</v>
      </c>
      <c r="E16" s="119">
        <v>27000000</v>
      </c>
      <c r="F16" s="49"/>
      <c r="G16" t="s">
        <v>323</v>
      </c>
      <c r="P16" s="49"/>
      <c r="Q16" s="49"/>
      <c r="R16" s="49"/>
      <c r="S16" s="49"/>
      <c r="U16" s="115" t="s">
        <v>360</v>
      </c>
      <c r="V16" s="115">
        <v>350000</v>
      </c>
      <c r="W16" s="115" t="s">
        <v>360</v>
      </c>
      <c r="X16" s="115">
        <v>36000000</v>
      </c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BA16">
        <f t="shared" si="0"/>
        <v>196</v>
      </c>
      <c r="BB16">
        <f t="shared" si="1"/>
        <v>1960</v>
      </c>
      <c r="BD16" t="s">
        <v>284</v>
      </c>
    </row>
    <row r="17" spans="1:58" ht="15" thickBot="1" x14ac:dyDescent="0.4">
      <c r="C17" s="48" t="s">
        <v>105</v>
      </c>
      <c r="D17" s="119">
        <v>90000</v>
      </c>
      <c r="E17" s="119">
        <v>11000000</v>
      </c>
      <c r="F17" s="49"/>
      <c r="P17" s="49"/>
      <c r="Q17" s="49"/>
      <c r="R17" s="49"/>
      <c r="S17" s="49"/>
      <c r="U17" s="116" t="s">
        <v>361</v>
      </c>
      <c r="V17" s="116">
        <v>90000</v>
      </c>
      <c r="W17" s="116" t="s">
        <v>361</v>
      </c>
      <c r="X17" s="116">
        <v>11000000</v>
      </c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BA17">
        <f t="shared" si="0"/>
        <v>529</v>
      </c>
      <c r="BB17">
        <f t="shared" si="1"/>
        <v>9200</v>
      </c>
    </row>
    <row r="18" spans="1:58" x14ac:dyDescent="0.35">
      <c r="C18" s="48" t="s">
        <v>106</v>
      </c>
      <c r="D18" s="119">
        <v>180000</v>
      </c>
      <c r="E18" s="119">
        <v>24000000</v>
      </c>
      <c r="F18" s="49"/>
      <c r="G18" s="118" t="s">
        <v>324</v>
      </c>
      <c r="H18" s="118"/>
      <c r="P18" s="49"/>
      <c r="Q18" s="49"/>
      <c r="R18" s="49"/>
      <c r="S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BA18">
        <f t="shared" si="0"/>
        <v>361</v>
      </c>
      <c r="BB18">
        <f t="shared" si="1"/>
        <v>7410</v>
      </c>
      <c r="BD18" s="45" t="s">
        <v>286</v>
      </c>
    </row>
    <row r="19" spans="1:58" x14ac:dyDescent="0.35">
      <c r="C19" s="48" t="s">
        <v>107</v>
      </c>
      <c r="D19" s="119">
        <v>300000</v>
      </c>
      <c r="E19" s="119">
        <v>32000000</v>
      </c>
      <c r="F19" s="49"/>
      <c r="G19" s="115" t="s">
        <v>325</v>
      </c>
      <c r="H19" s="115">
        <v>0.97848637755853984</v>
      </c>
      <c r="P19" s="49"/>
      <c r="Q19" s="49"/>
      <c r="R19" s="49"/>
      <c r="S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BA19">
        <f t="shared" si="0"/>
        <v>256</v>
      </c>
      <c r="BB19">
        <f t="shared" si="1"/>
        <v>2160</v>
      </c>
      <c r="BD19" t="s">
        <v>287</v>
      </c>
    </row>
    <row r="20" spans="1:58" x14ac:dyDescent="0.35">
      <c r="C20" s="48" t="s">
        <v>108</v>
      </c>
      <c r="D20" s="119">
        <v>280000</v>
      </c>
      <c r="E20" s="119">
        <v>29000000</v>
      </c>
      <c r="F20" s="49"/>
      <c r="G20" s="115" t="s">
        <v>326</v>
      </c>
      <c r="H20" s="115">
        <v>0.95743559106763343</v>
      </c>
      <c r="P20" s="49"/>
      <c r="Q20" s="49"/>
      <c r="R20" s="49"/>
      <c r="S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BA20">
        <f t="shared" si="0"/>
        <v>1089</v>
      </c>
      <c r="BB20">
        <f t="shared" si="1"/>
        <v>12540</v>
      </c>
      <c r="BD20" t="s">
        <v>278</v>
      </c>
    </row>
    <row r="21" spans="1:58" ht="21" x14ac:dyDescent="0.5">
      <c r="C21" s="48" t="s">
        <v>109</v>
      </c>
      <c r="D21" s="119">
        <v>350000</v>
      </c>
      <c r="E21" s="119">
        <v>36000000</v>
      </c>
      <c r="F21" s="49"/>
      <c r="G21" s="115" t="s">
        <v>327</v>
      </c>
      <c r="H21" s="115">
        <v>0.95317915017439669</v>
      </c>
      <c r="P21" s="49"/>
      <c r="Q21" s="49"/>
      <c r="R21" s="49"/>
      <c r="S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V21" s="112" t="s">
        <v>305</v>
      </c>
      <c r="AW21">
        <f>SUM(AW10:AW15)</f>
        <v>123</v>
      </c>
      <c r="AX21">
        <f>SUM(AX10:AX15)</f>
        <v>1595</v>
      </c>
      <c r="AY21">
        <f>SUM(BA15:BA20)</f>
        <v>2755</v>
      </c>
      <c r="AZ21">
        <f>SUM(BB15:BB20)</f>
        <v>35970</v>
      </c>
      <c r="BD21" t="s">
        <v>291</v>
      </c>
    </row>
    <row r="22" spans="1:58" x14ac:dyDescent="0.35">
      <c r="G22" s="115" t="s">
        <v>328</v>
      </c>
      <c r="H22" s="115">
        <v>1683999.3304983587</v>
      </c>
      <c r="BD22" t="s">
        <v>298</v>
      </c>
    </row>
    <row r="23" spans="1:58" ht="15" thickBot="1" x14ac:dyDescent="0.4">
      <c r="A23" s="10" t="s">
        <v>0</v>
      </c>
      <c r="G23" s="116" t="s">
        <v>329</v>
      </c>
      <c r="H23" s="116">
        <v>12</v>
      </c>
    </row>
    <row r="24" spans="1:58" x14ac:dyDescent="0.35">
      <c r="A24" s="9" t="s">
        <v>347</v>
      </c>
      <c r="BC24" t="s">
        <v>300</v>
      </c>
      <c r="BD24" s="108">
        <f>(380-140)/(33-14)</f>
        <v>12.631578947368421</v>
      </c>
    </row>
    <row r="25" spans="1:58" ht="15" thickBot="1" x14ac:dyDescent="0.4">
      <c r="G25" t="s">
        <v>321</v>
      </c>
      <c r="BD25" t="s">
        <v>298</v>
      </c>
    </row>
    <row r="26" spans="1:58" x14ac:dyDescent="0.35">
      <c r="A26" s="9" t="s">
        <v>110</v>
      </c>
      <c r="G26" s="117"/>
      <c r="H26" s="117" t="s">
        <v>333</v>
      </c>
      <c r="I26" s="117" t="s">
        <v>334</v>
      </c>
      <c r="J26" s="117" t="s">
        <v>335</v>
      </c>
      <c r="K26" s="117" t="s">
        <v>336</v>
      </c>
      <c r="L26" s="117" t="s">
        <v>337</v>
      </c>
      <c r="BD26" t="s">
        <v>278</v>
      </c>
    </row>
    <row r="27" spans="1:58" x14ac:dyDescent="0.35">
      <c r="A27" s="11"/>
      <c r="G27" s="115" t="s">
        <v>330</v>
      </c>
      <c r="H27" s="115">
        <v>1</v>
      </c>
      <c r="I27" s="121">
        <v>637891462548810.75</v>
      </c>
      <c r="J27" s="121">
        <v>637891462548810.75</v>
      </c>
      <c r="K27" s="121">
        <v>224.9380679968956</v>
      </c>
      <c r="L27" s="121">
        <v>3.5009191442982453E-8</v>
      </c>
      <c r="BD27" t="s">
        <v>301</v>
      </c>
      <c r="BF27" s="109" t="s">
        <v>299</v>
      </c>
    </row>
    <row r="28" spans="1:58" x14ac:dyDescent="0.35">
      <c r="A28" s="12"/>
      <c r="C28" s="12" t="s">
        <v>111</v>
      </c>
      <c r="G28" s="115" t="s">
        <v>331</v>
      </c>
      <c r="H28" s="115">
        <v>10</v>
      </c>
      <c r="I28" s="121">
        <v>28358537451189.203</v>
      </c>
      <c r="J28" s="121">
        <v>2835853745118.9204</v>
      </c>
      <c r="K28" s="121"/>
      <c r="L28" s="121"/>
      <c r="BD28" t="s">
        <v>302</v>
      </c>
    </row>
    <row r="29" spans="1:58" ht="15" thickBot="1" x14ac:dyDescent="0.4">
      <c r="A29" s="12"/>
      <c r="C29" s="12"/>
      <c r="G29" s="116" t="s">
        <v>332</v>
      </c>
      <c r="H29" s="116">
        <v>11</v>
      </c>
      <c r="I29" s="121">
        <v>666250000000000</v>
      </c>
      <c r="J29" s="121"/>
      <c r="K29" s="121"/>
      <c r="L29" s="121"/>
      <c r="BC29" t="s">
        <v>299</v>
      </c>
      <c r="BD29" s="108">
        <f>140-(BD24*14)</f>
        <v>-36.84210526315789</v>
      </c>
    </row>
    <row r="30" spans="1:58" ht="15" thickBot="1" x14ac:dyDescent="0.4">
      <c r="A30" s="12"/>
      <c r="C30" s="12" t="s">
        <v>112</v>
      </c>
      <c r="BD30" t="s">
        <v>303</v>
      </c>
    </row>
    <row r="31" spans="1:58" x14ac:dyDescent="0.35">
      <c r="A31" s="12"/>
      <c r="C31" s="12"/>
      <c r="G31" s="117"/>
      <c r="H31" s="117" t="s">
        <v>368</v>
      </c>
      <c r="I31" s="117" t="s">
        <v>328</v>
      </c>
      <c r="J31" s="117" t="s">
        <v>339</v>
      </c>
      <c r="K31" s="117" t="s">
        <v>340</v>
      </c>
      <c r="L31" s="117" t="s">
        <v>341</v>
      </c>
      <c r="M31" s="117" t="s">
        <v>342</v>
      </c>
      <c r="N31" s="117" t="s">
        <v>345</v>
      </c>
      <c r="O31" s="117" t="s">
        <v>346</v>
      </c>
    </row>
    <row r="32" spans="1:58" x14ac:dyDescent="0.35">
      <c r="C32" s="12" t="s">
        <v>113</v>
      </c>
      <c r="G32" s="115" t="s">
        <v>299</v>
      </c>
      <c r="H32" s="125">
        <v>3977635.7827476077</v>
      </c>
      <c r="I32" s="125">
        <v>1373881.0301029747</v>
      </c>
      <c r="J32" s="125">
        <v>2.8951821122746537</v>
      </c>
      <c r="K32" s="125">
        <v>1.5964811851493566E-2</v>
      </c>
      <c r="L32" s="125">
        <v>916438.08156824531</v>
      </c>
      <c r="M32" s="125">
        <v>7038833.4839269705</v>
      </c>
      <c r="N32" s="125">
        <v>916438.08156824531</v>
      </c>
      <c r="O32" s="125">
        <v>7038833.4839269705</v>
      </c>
      <c r="BD32" s="45" t="s">
        <v>304</v>
      </c>
    </row>
    <row r="33" spans="1:57" ht="15" thickBot="1" x14ac:dyDescent="0.4">
      <c r="G33" s="116" t="s">
        <v>300</v>
      </c>
      <c r="H33" s="126">
        <v>95.172168974085892</v>
      </c>
      <c r="I33" s="126">
        <v>6.3456846605157828</v>
      </c>
      <c r="J33" s="126">
        <v>14.997935457818702</v>
      </c>
      <c r="K33" s="126">
        <v>3.5009191442982579E-8</v>
      </c>
      <c r="L33" s="126">
        <v>81.033102439537345</v>
      </c>
      <c r="M33" s="126">
        <v>109.31123550863444</v>
      </c>
      <c r="N33" s="126">
        <v>81.033102439537345</v>
      </c>
      <c r="O33" s="126">
        <v>109.31123550863444</v>
      </c>
    </row>
    <row r="34" spans="1:57" x14ac:dyDescent="0.35">
      <c r="A34" s="9" t="s">
        <v>114</v>
      </c>
      <c r="AX34" s="13" t="s">
        <v>15</v>
      </c>
      <c r="AY34" s="13"/>
      <c r="AZ34" s="13"/>
      <c r="BA34" s="13"/>
      <c r="BB34" s="13"/>
    </row>
    <row r="35" spans="1:57" x14ac:dyDescent="0.35">
      <c r="H35" t="s">
        <v>278</v>
      </c>
      <c r="BC35" t="s">
        <v>300</v>
      </c>
      <c r="BD35" s="111" t="s">
        <v>306</v>
      </c>
      <c r="BE35">
        <f>(6*AZ21)-(AW21*AX21)</f>
        <v>19635</v>
      </c>
    </row>
    <row r="36" spans="1:57" ht="16.5" x14ac:dyDescent="0.35">
      <c r="A36" s="9" t="s">
        <v>115</v>
      </c>
      <c r="BD36" t="s">
        <v>309</v>
      </c>
      <c r="BE36">
        <f>(6*AY21)-(AW21*AW21)</f>
        <v>1401</v>
      </c>
    </row>
    <row r="37" spans="1:57" x14ac:dyDescent="0.35">
      <c r="A37" s="9" t="s">
        <v>116</v>
      </c>
      <c r="G37" s="122" t="s">
        <v>369</v>
      </c>
      <c r="H37" s="122" t="s">
        <v>367</v>
      </c>
      <c r="I37" s="123" t="s">
        <v>341</v>
      </c>
      <c r="J37" s="123" t="s">
        <v>342</v>
      </c>
      <c r="AX37" s="50" t="s">
        <v>8</v>
      </c>
      <c r="AY37" s="50"/>
      <c r="AZ37" s="50"/>
      <c r="BA37" s="50"/>
      <c r="BB37" s="50"/>
      <c r="BD37">
        <f>BE35/BE36</f>
        <v>14.014989293361884</v>
      </c>
    </row>
    <row r="38" spans="1:57" x14ac:dyDescent="0.35">
      <c r="A38" s="12"/>
      <c r="G38" s="124">
        <v>460000</v>
      </c>
      <c r="H38" s="124">
        <f>$H$32+$H$33*G38</f>
        <v>47756833.510827124</v>
      </c>
      <c r="I38" s="124">
        <f>$L$32+$L$33*G38</f>
        <v>38191665.203755423</v>
      </c>
      <c r="J38" s="124">
        <f>$M$32+$M$33*G38</f>
        <v>57322001.81789881</v>
      </c>
      <c r="AW38" s="110" t="s">
        <v>117</v>
      </c>
      <c r="AX38" s="110"/>
      <c r="AY38" s="110"/>
      <c r="AZ38" s="110"/>
      <c r="BA38" s="110"/>
      <c r="BB38" s="110"/>
    </row>
    <row r="39" spans="1:57" x14ac:dyDescent="0.35">
      <c r="C39" s="12"/>
      <c r="G39" s="124">
        <v>150000</v>
      </c>
      <c r="H39" s="124">
        <f t="shared" ref="H39:H44" si="2">$H$32+$H$33*G39</f>
        <v>18253461.128860492</v>
      </c>
      <c r="I39" s="124">
        <f t="shared" ref="I39:I40" si="3">$L$32+$L$33*G39</f>
        <v>13071403.447498847</v>
      </c>
      <c r="J39" s="124">
        <f t="shared" ref="J39:J40" si="4">$M$32+$M$33*G39</f>
        <v>23435518.810222134</v>
      </c>
      <c r="BC39" t="s">
        <v>299</v>
      </c>
      <c r="BD39" s="111" t="s">
        <v>307</v>
      </c>
      <c r="BE39">
        <f>AX21-(BD37*AW21)</f>
        <v>-128.84368308351168</v>
      </c>
    </row>
    <row r="40" spans="1:57" x14ac:dyDescent="0.35">
      <c r="A40" s="12"/>
      <c r="G40" s="124">
        <v>120000</v>
      </c>
      <c r="H40" s="124">
        <f t="shared" si="2"/>
        <v>15398296.059637915</v>
      </c>
      <c r="I40" s="124">
        <f t="shared" si="3"/>
        <v>10640410.374312727</v>
      </c>
      <c r="J40" s="124">
        <f t="shared" si="4"/>
        <v>20156181.744963102</v>
      </c>
      <c r="BD40" t="s">
        <v>308</v>
      </c>
      <c r="BE40">
        <v>6</v>
      </c>
    </row>
    <row r="41" spans="1:57" x14ac:dyDescent="0.35">
      <c r="A41" s="12"/>
      <c r="G41" s="124">
        <v>250000</v>
      </c>
      <c r="H41" s="124">
        <f t="shared" si="2"/>
        <v>27770678.026269082</v>
      </c>
      <c r="I41" s="124">
        <f t="shared" ref="I41:I44" si="5">$L$32+$L$33*G41</f>
        <v>21174713.691452581</v>
      </c>
      <c r="J41" s="124">
        <f t="shared" ref="J41:J44" si="6">$M$32+$M$33*G41</f>
        <v>34366642.361085579</v>
      </c>
      <c r="BD41">
        <f>BE39/BE40</f>
        <v>-21.473947180585281</v>
      </c>
    </row>
    <row r="42" spans="1:57" x14ac:dyDescent="0.35">
      <c r="G42" s="124">
        <v>260000</v>
      </c>
      <c r="H42" s="124">
        <f t="shared" si="2"/>
        <v>28722399.716009941</v>
      </c>
      <c r="I42" s="124">
        <f t="shared" si="5"/>
        <v>21985044.715847954</v>
      </c>
      <c r="J42" s="124">
        <f t="shared" si="6"/>
        <v>35459754.71617192</v>
      </c>
    </row>
    <row r="43" spans="1:57" x14ac:dyDescent="0.35">
      <c r="G43" s="124">
        <v>120000</v>
      </c>
      <c r="H43" s="124">
        <f t="shared" si="2"/>
        <v>15398296.059637915</v>
      </c>
      <c r="I43" s="124">
        <f t="shared" si="5"/>
        <v>10640410.374312727</v>
      </c>
      <c r="J43" s="124">
        <f t="shared" si="6"/>
        <v>20156181.744963102</v>
      </c>
    </row>
    <row r="44" spans="1:57" x14ac:dyDescent="0.35">
      <c r="G44" s="124">
        <v>80000</v>
      </c>
      <c r="H44" s="124">
        <f t="shared" si="2"/>
        <v>11591409.300674479</v>
      </c>
      <c r="I44" s="124">
        <f t="shared" si="5"/>
        <v>7399086.2767312322</v>
      </c>
      <c r="J44" s="124">
        <f t="shared" si="6"/>
        <v>15783732.324617725</v>
      </c>
      <c r="AZ44" t="s">
        <v>323</v>
      </c>
    </row>
    <row r="45" spans="1:57" ht="15" thickBot="1" x14ac:dyDescent="0.4"/>
    <row r="46" spans="1:57" x14ac:dyDescent="0.35">
      <c r="AZ46" s="118" t="s">
        <v>324</v>
      </c>
      <c r="BA46" s="118"/>
    </row>
    <row r="47" spans="1:57" x14ac:dyDescent="0.35">
      <c r="G47" t="s">
        <v>323</v>
      </c>
      <c r="AZ47" s="115" t="s">
        <v>325</v>
      </c>
      <c r="BA47" s="115">
        <v>0.70293226995003655</v>
      </c>
      <c r="BC47">
        <f>SQRT(BC48)</f>
        <v>0.70293226995003655</v>
      </c>
    </row>
    <row r="48" spans="1:57" ht="15" thickBot="1" x14ac:dyDescent="0.4">
      <c r="AZ48" s="115" t="s">
        <v>326</v>
      </c>
      <c r="BA48" s="115">
        <v>0.4941137761371111</v>
      </c>
      <c r="BC48">
        <f>BB55/BB57</f>
        <v>0.4941137761371111</v>
      </c>
    </row>
    <row r="49" spans="7:60" x14ac:dyDescent="0.35">
      <c r="G49" s="118" t="s">
        <v>324</v>
      </c>
      <c r="H49" s="118"/>
      <c r="AZ49" s="115" t="s">
        <v>327</v>
      </c>
      <c r="BA49" s="115">
        <v>0.36764222017138892</v>
      </c>
    </row>
    <row r="50" spans="7:60" x14ac:dyDescent="0.35">
      <c r="G50" s="115" t="s">
        <v>325</v>
      </c>
      <c r="H50" s="115">
        <v>0.97848637755853984</v>
      </c>
      <c r="AZ50" s="115" t="s">
        <v>328</v>
      </c>
      <c r="BA50" s="115">
        <v>108.3475667364138</v>
      </c>
    </row>
    <row r="51" spans="7:60" ht="15" thickBot="1" x14ac:dyDescent="0.4">
      <c r="G51" s="115" t="s">
        <v>326</v>
      </c>
      <c r="H51" s="115">
        <v>0.95743559106763343</v>
      </c>
      <c r="AZ51" s="116" t="s">
        <v>329</v>
      </c>
      <c r="BA51" s="116">
        <v>6</v>
      </c>
    </row>
    <row r="52" spans="7:60" x14ac:dyDescent="0.35">
      <c r="G52" s="115" t="s">
        <v>327</v>
      </c>
      <c r="H52" s="115">
        <v>0.95317915017439669</v>
      </c>
    </row>
    <row r="53" spans="7:60" ht="15" thickBot="1" x14ac:dyDescent="0.4">
      <c r="G53" s="115" t="s">
        <v>328</v>
      </c>
      <c r="H53" s="115">
        <v>1683999.3304983587</v>
      </c>
      <c r="AZ53" t="s">
        <v>321</v>
      </c>
    </row>
    <row r="54" spans="7:60" ht="15" thickBot="1" x14ac:dyDescent="0.4">
      <c r="G54" s="116" t="s">
        <v>329</v>
      </c>
      <c r="H54" s="116">
        <v>12</v>
      </c>
      <c r="AZ54" s="117"/>
      <c r="BA54" s="117" t="s">
        <v>333</v>
      </c>
      <c r="BB54" s="117" t="s">
        <v>334</v>
      </c>
      <c r="BC54" s="117" t="s">
        <v>335</v>
      </c>
      <c r="BD54" s="117" t="s">
        <v>336</v>
      </c>
      <c r="BE54" s="117" t="s">
        <v>337</v>
      </c>
    </row>
    <row r="55" spans="7:60" x14ac:dyDescent="0.35">
      <c r="AZ55" s="115" t="s">
        <v>330</v>
      </c>
      <c r="BA55" s="115">
        <v>1</v>
      </c>
      <c r="BB55" s="115">
        <v>45864.052462526764</v>
      </c>
      <c r="BC55" s="115">
        <v>45864.052462526764</v>
      </c>
      <c r="BD55" s="115">
        <v>3.9069162418704764</v>
      </c>
      <c r="BE55" s="115">
        <v>0.119265854211767</v>
      </c>
    </row>
    <row r="56" spans="7:60" ht="15" thickBot="1" x14ac:dyDescent="0.4">
      <c r="G56" t="s">
        <v>321</v>
      </c>
      <c r="AZ56" s="115" t="s">
        <v>331</v>
      </c>
      <c r="BA56" s="115">
        <v>4</v>
      </c>
      <c r="BB56" s="115">
        <v>46956.780870806564</v>
      </c>
      <c r="BC56" s="115">
        <v>11739.195217701641</v>
      </c>
      <c r="BD56" s="115"/>
      <c r="BE56" s="115"/>
    </row>
    <row r="57" spans="7:60" ht="15" thickBot="1" x14ac:dyDescent="0.4">
      <c r="G57" s="117"/>
      <c r="H57" s="117" t="s">
        <v>333</v>
      </c>
      <c r="I57" s="117" t="s">
        <v>334</v>
      </c>
      <c r="J57" s="117" t="s">
        <v>335</v>
      </c>
      <c r="K57" s="117" t="s">
        <v>336</v>
      </c>
      <c r="L57" s="117" t="s">
        <v>337</v>
      </c>
      <c r="AZ57" s="116" t="s">
        <v>332</v>
      </c>
      <c r="BA57" s="116">
        <v>5</v>
      </c>
      <c r="BB57" s="116">
        <v>92820.833333333328</v>
      </c>
      <c r="BC57" s="116"/>
      <c r="BD57" s="116"/>
      <c r="BE57" s="116"/>
    </row>
    <row r="58" spans="7:60" ht="15" thickBot="1" x14ac:dyDescent="0.4">
      <c r="G58" s="115" t="s">
        <v>330</v>
      </c>
      <c r="H58" s="115">
        <v>1</v>
      </c>
      <c r="I58" s="115">
        <v>637891462548810.75</v>
      </c>
      <c r="J58" s="115">
        <v>637891462548810.75</v>
      </c>
      <c r="K58" s="115">
        <v>224.9380679968956</v>
      </c>
      <c r="L58" s="115">
        <v>3.5009191442982453E-8</v>
      </c>
    </row>
    <row r="59" spans="7:60" x14ac:dyDescent="0.35">
      <c r="G59" s="115" t="s">
        <v>331</v>
      </c>
      <c r="H59" s="115">
        <v>10</v>
      </c>
      <c r="I59" s="115">
        <v>28358537451189.203</v>
      </c>
      <c r="J59" s="115">
        <v>2835853745118.9204</v>
      </c>
      <c r="K59" s="115"/>
      <c r="L59" s="115"/>
      <c r="AZ59" s="117"/>
      <c r="BA59" s="117" t="s">
        <v>338</v>
      </c>
      <c r="BB59" s="117" t="s">
        <v>328</v>
      </c>
      <c r="BC59" s="117" t="s">
        <v>339</v>
      </c>
      <c r="BD59" s="117" t="s">
        <v>340</v>
      </c>
      <c r="BE59" s="117" t="s">
        <v>341</v>
      </c>
      <c r="BF59" s="117" t="s">
        <v>342</v>
      </c>
      <c r="BG59" s="117" t="s">
        <v>343</v>
      </c>
      <c r="BH59" s="117" t="s">
        <v>344</v>
      </c>
    </row>
    <row r="60" spans="7:60" ht="15" thickBot="1" x14ac:dyDescent="0.4">
      <c r="G60" s="116" t="s">
        <v>332</v>
      </c>
      <c r="H60" s="116">
        <v>11</v>
      </c>
      <c r="I60" s="116">
        <v>666250000000000</v>
      </c>
      <c r="J60" s="116"/>
      <c r="K60" s="116"/>
      <c r="L60" s="116"/>
      <c r="AZ60" s="115" t="s">
        <v>299</v>
      </c>
      <c r="BA60" s="115">
        <v>-21.473947180585299</v>
      </c>
      <c r="BB60" s="115">
        <v>151.93607268139868</v>
      </c>
      <c r="BC60" s="115">
        <v>-0.14133541035784797</v>
      </c>
      <c r="BD60" s="115">
        <v>0.89443727787544669</v>
      </c>
      <c r="BE60" s="115">
        <v>-443.31611247983085</v>
      </c>
      <c r="BF60" s="115">
        <v>400.36821811866025</v>
      </c>
      <c r="BG60" s="115">
        <v>-291.64548110867423</v>
      </c>
      <c r="BH60" s="115">
        <v>248.69758674750364</v>
      </c>
    </row>
    <row r="61" spans="7:60" ht="15" thickBot="1" x14ac:dyDescent="0.4">
      <c r="AZ61" s="116" t="s">
        <v>300</v>
      </c>
      <c r="BA61" s="116">
        <v>14.014989293361884</v>
      </c>
      <c r="BB61" s="116">
        <v>7.0904813648915441</v>
      </c>
      <c r="BC61" s="116">
        <v>1.9765920777617412</v>
      </c>
      <c r="BD61" s="116">
        <v>0.119265854211767</v>
      </c>
      <c r="BE61" s="116">
        <v>-5.6713429856874118</v>
      </c>
      <c r="BF61" s="116">
        <v>33.701321572411182</v>
      </c>
      <c r="BG61" s="116">
        <v>1.4067508886594045</v>
      </c>
      <c r="BH61" s="116">
        <v>26.623227698064362</v>
      </c>
    </row>
    <row r="62" spans="7:60" x14ac:dyDescent="0.35">
      <c r="G62" s="117"/>
      <c r="H62" s="117" t="s">
        <v>338</v>
      </c>
      <c r="I62" s="117" t="s">
        <v>328</v>
      </c>
      <c r="J62" s="117" t="s">
        <v>339</v>
      </c>
      <c r="K62" s="117" t="s">
        <v>340</v>
      </c>
      <c r="L62" s="117" t="s">
        <v>341</v>
      </c>
      <c r="M62" s="117" t="s">
        <v>342</v>
      </c>
      <c r="N62" s="117" t="s">
        <v>343</v>
      </c>
      <c r="O62" s="117" t="s">
        <v>344</v>
      </c>
    </row>
    <row r="63" spans="7:60" x14ac:dyDescent="0.35">
      <c r="G63" s="115" t="s">
        <v>299</v>
      </c>
      <c r="H63" s="115">
        <v>3977635.7827476077</v>
      </c>
      <c r="I63" s="115">
        <v>1373881.0301029747</v>
      </c>
      <c r="J63" s="115">
        <v>2.8951821122746537</v>
      </c>
      <c r="K63" s="115">
        <v>1.5964811851493566E-2</v>
      </c>
      <c r="L63" s="115">
        <v>916438.08156824531</v>
      </c>
      <c r="M63" s="115">
        <v>7038833.4839269705</v>
      </c>
      <c r="N63" s="115">
        <v>1835431.1126105562</v>
      </c>
      <c r="O63" s="115">
        <v>6119840.4528846592</v>
      </c>
    </row>
    <row r="64" spans="7:60" ht="15" thickBot="1" x14ac:dyDescent="0.4">
      <c r="G64" s="116" t="s">
        <v>300</v>
      </c>
      <c r="H64" s="116">
        <v>95.172168974085892</v>
      </c>
      <c r="I64" s="116">
        <v>6.3456846605157828</v>
      </c>
      <c r="J64" s="116">
        <v>14.997935457818702</v>
      </c>
      <c r="K64" s="116">
        <v>3.5009191442982579E-8</v>
      </c>
      <c r="L64" s="116">
        <v>81.033102439537345</v>
      </c>
      <c r="M64" s="116">
        <v>109.31123550863444</v>
      </c>
      <c r="N64" s="116">
        <v>85.277749430382698</v>
      </c>
      <c r="O64" s="116">
        <v>105.06658851778909</v>
      </c>
    </row>
    <row r="67" spans="6:10" x14ac:dyDescent="0.35">
      <c r="G67" t="s">
        <v>278</v>
      </c>
    </row>
    <row r="68" spans="6:10" x14ac:dyDescent="0.35">
      <c r="F68" s="110"/>
      <c r="G68" s="11"/>
    </row>
    <row r="69" spans="6:10" x14ac:dyDescent="0.35">
      <c r="F69" s="110" t="s">
        <v>96</v>
      </c>
      <c r="G69" s="110" t="s">
        <v>373</v>
      </c>
      <c r="H69" s="110" t="s">
        <v>374</v>
      </c>
    </row>
    <row r="70" spans="6:10" x14ac:dyDescent="0.35">
      <c r="F70" s="119">
        <v>150000</v>
      </c>
      <c r="G70" s="119">
        <v>18000000</v>
      </c>
      <c r="H70" s="97">
        <f>$H$63+$H$64*$F70</f>
        <v>18253461.128860492</v>
      </c>
      <c r="J70" s="97"/>
    </row>
    <row r="71" spans="6:10" x14ac:dyDescent="0.35">
      <c r="F71" s="119">
        <v>120000</v>
      </c>
      <c r="G71" s="119">
        <v>14000000</v>
      </c>
      <c r="H71" s="97">
        <f t="shared" ref="H71:H81" si="7">$H$63+$H$64*$F71</f>
        <v>15398296.059637915</v>
      </c>
    </row>
    <row r="72" spans="6:10" x14ac:dyDescent="0.35">
      <c r="F72" s="119">
        <v>200000</v>
      </c>
      <c r="G72" s="119">
        <v>23000000</v>
      </c>
      <c r="H72" s="97">
        <f t="shared" si="7"/>
        <v>23012069.577564787</v>
      </c>
    </row>
    <row r="73" spans="6:10" x14ac:dyDescent="0.35">
      <c r="F73" s="119">
        <v>170000</v>
      </c>
      <c r="G73" s="119">
        <v>19000000</v>
      </c>
      <c r="H73" s="97">
        <f t="shared" si="7"/>
        <v>20156904.50834221</v>
      </c>
    </row>
    <row r="74" spans="6:10" x14ac:dyDescent="0.35">
      <c r="F74" s="119">
        <v>120000</v>
      </c>
      <c r="G74" s="119">
        <v>16000000</v>
      </c>
      <c r="H74" s="97">
        <f t="shared" si="7"/>
        <v>15398296.059637915</v>
      </c>
    </row>
    <row r="75" spans="6:10" x14ac:dyDescent="0.35">
      <c r="F75" s="119">
        <v>250000</v>
      </c>
      <c r="G75" s="119">
        <v>30000000</v>
      </c>
      <c r="H75" s="97">
        <f t="shared" si="7"/>
        <v>27770678.026269082</v>
      </c>
    </row>
    <row r="76" spans="6:10" x14ac:dyDescent="0.35">
      <c r="F76" s="119">
        <v>220000</v>
      </c>
      <c r="G76" s="119">
        <v>27000000</v>
      </c>
      <c r="H76" s="97">
        <f t="shared" si="7"/>
        <v>24915512.957046505</v>
      </c>
    </row>
    <row r="77" spans="6:10" x14ac:dyDescent="0.35">
      <c r="F77" s="119">
        <v>90000</v>
      </c>
      <c r="G77" s="119">
        <v>11000000</v>
      </c>
      <c r="H77" s="97">
        <f t="shared" si="7"/>
        <v>12543130.990415338</v>
      </c>
    </row>
    <row r="78" spans="6:10" x14ac:dyDescent="0.35">
      <c r="F78" s="119">
        <v>180000</v>
      </c>
      <c r="G78" s="119">
        <v>24000000</v>
      </c>
      <c r="H78" s="97">
        <f t="shared" si="7"/>
        <v>21108626.198083069</v>
      </c>
    </row>
    <row r="79" spans="6:10" x14ac:dyDescent="0.35">
      <c r="F79" s="119">
        <v>300000</v>
      </c>
      <c r="G79" s="119">
        <v>32000000</v>
      </c>
      <c r="H79" s="97">
        <f t="shared" si="7"/>
        <v>32529286.474973377</v>
      </c>
    </row>
    <row r="80" spans="6:10" x14ac:dyDescent="0.35">
      <c r="F80" s="119">
        <v>280000</v>
      </c>
      <c r="G80" s="119">
        <v>29000000</v>
      </c>
      <c r="H80" s="97">
        <f t="shared" si="7"/>
        <v>30625843.095491659</v>
      </c>
    </row>
    <row r="81" spans="6:8" x14ac:dyDescent="0.35">
      <c r="F81" s="119">
        <v>350000</v>
      </c>
      <c r="G81" s="119">
        <v>36000000</v>
      </c>
      <c r="H81" s="97">
        <f t="shared" si="7"/>
        <v>37287894.923677668</v>
      </c>
    </row>
  </sheetData>
  <mergeCells count="1">
    <mergeCell ref="A2:D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D8B04-307A-4126-8361-94069110E783}">
  <dimension ref="A1:R201"/>
  <sheetViews>
    <sheetView topLeftCell="A165" workbookViewId="0">
      <selection activeCell="A171" sqref="A171"/>
    </sheetView>
  </sheetViews>
  <sheetFormatPr defaultColWidth="9.1796875" defaultRowHeight="15.5" x14ac:dyDescent="0.35"/>
  <cols>
    <col min="1" max="1" width="24" style="1" customWidth="1"/>
    <col min="2" max="2" width="44.26953125" style="1" customWidth="1"/>
    <col min="3" max="3" width="24.453125" style="1" customWidth="1"/>
    <col min="4" max="9" width="9.1796875" style="1"/>
    <col min="10" max="10" width="13.1796875" style="1" bestFit="1" customWidth="1"/>
    <col min="11" max="11" width="16.1796875" style="1" bestFit="1" customWidth="1"/>
    <col min="12" max="12" width="22.26953125" style="1" bestFit="1" customWidth="1"/>
    <col min="13" max="13" width="36" style="1" bestFit="1" customWidth="1"/>
    <col min="14" max="14" width="24" style="1" bestFit="1" customWidth="1"/>
    <col min="15" max="16384" width="9.1796875" style="1"/>
  </cols>
  <sheetData>
    <row r="1" spans="1:3" x14ac:dyDescent="0.35">
      <c r="A1" s="2" t="s">
        <v>7</v>
      </c>
    </row>
    <row r="2" spans="1:3" x14ac:dyDescent="0.35">
      <c r="A2" s="1" t="s">
        <v>118</v>
      </c>
    </row>
    <row r="3" spans="1:3" x14ac:dyDescent="0.35">
      <c r="A3" s="1" t="s">
        <v>119</v>
      </c>
    </row>
    <row r="4" spans="1:3" x14ac:dyDescent="0.35">
      <c r="A4" s="1" t="s">
        <v>120</v>
      </c>
    </row>
    <row r="5" spans="1:3" x14ac:dyDescent="0.35">
      <c r="A5" s="1" t="s">
        <v>121</v>
      </c>
      <c r="C5" s="5"/>
    </row>
    <row r="6" spans="1:3" x14ac:dyDescent="0.35">
      <c r="C6" s="5"/>
    </row>
    <row r="7" spans="1:3" x14ac:dyDescent="0.35">
      <c r="A7" s="51" t="s">
        <v>383</v>
      </c>
      <c r="B7" s="51" t="s">
        <v>382</v>
      </c>
      <c r="C7" s="51" t="s">
        <v>381</v>
      </c>
    </row>
    <row r="8" spans="1:3" x14ac:dyDescent="0.35">
      <c r="A8" s="52">
        <v>40179</v>
      </c>
      <c r="B8" s="53">
        <v>32.799999999999997</v>
      </c>
      <c r="C8" s="53">
        <v>182.39</v>
      </c>
    </row>
    <row r="9" spans="1:3" x14ac:dyDescent="0.35">
      <c r="A9" s="52">
        <v>40210</v>
      </c>
      <c r="B9" s="53">
        <v>23.6</v>
      </c>
      <c r="C9" s="53">
        <v>192.25</v>
      </c>
    </row>
    <row r="10" spans="1:3" x14ac:dyDescent="0.35">
      <c r="A10" s="52">
        <v>40238</v>
      </c>
      <c r="B10" s="53">
        <v>15</v>
      </c>
      <c r="C10" s="53">
        <v>192.19</v>
      </c>
    </row>
    <row r="11" spans="1:3" x14ac:dyDescent="0.35">
      <c r="A11" s="52">
        <v>40269</v>
      </c>
      <c r="B11" s="53">
        <v>19.3</v>
      </c>
      <c r="C11" s="53">
        <v>188.5</v>
      </c>
    </row>
    <row r="12" spans="1:3" x14ac:dyDescent="0.35">
      <c r="A12" s="52">
        <v>40299</v>
      </c>
      <c r="B12" s="53">
        <v>26</v>
      </c>
      <c r="C12" s="53">
        <v>182.09</v>
      </c>
    </row>
    <row r="13" spans="1:3" x14ac:dyDescent="0.35">
      <c r="A13" s="52">
        <v>40330</v>
      </c>
      <c r="B13" s="53">
        <v>19.5</v>
      </c>
      <c r="C13" s="53">
        <v>196.95</v>
      </c>
    </row>
    <row r="14" spans="1:3" x14ac:dyDescent="0.35">
      <c r="A14" s="52">
        <v>40360</v>
      </c>
      <c r="B14" s="53">
        <v>18.899999999999999</v>
      </c>
      <c r="C14" s="53">
        <v>204.48</v>
      </c>
    </row>
    <row r="15" spans="1:3" x14ac:dyDescent="0.35">
      <c r="A15" s="52">
        <v>40391</v>
      </c>
      <c r="B15" s="53">
        <v>19.899999999999999</v>
      </c>
      <c r="C15" s="53">
        <v>191.95</v>
      </c>
    </row>
    <row r="16" spans="1:3" x14ac:dyDescent="0.35">
      <c r="A16" s="52">
        <v>40422</v>
      </c>
      <c r="B16" s="53">
        <v>26.4</v>
      </c>
      <c r="C16" s="53">
        <v>195.41</v>
      </c>
    </row>
    <row r="17" spans="1:3" x14ac:dyDescent="0.35">
      <c r="A17" s="52">
        <v>40452</v>
      </c>
      <c r="B17" s="53">
        <v>31.6</v>
      </c>
      <c r="C17" s="53">
        <v>200.48</v>
      </c>
    </row>
    <row r="18" spans="1:3" x14ac:dyDescent="0.35">
      <c r="A18" s="52">
        <v>40483</v>
      </c>
      <c r="B18" s="53">
        <v>27</v>
      </c>
      <c r="C18" s="53">
        <v>200</v>
      </c>
    </row>
    <row r="19" spans="1:3" x14ac:dyDescent="0.35">
      <c r="A19" s="52">
        <v>40513</v>
      </c>
      <c r="B19" s="53">
        <v>32.9</v>
      </c>
      <c r="C19" s="53">
        <v>205.22</v>
      </c>
    </row>
    <row r="20" spans="1:3" x14ac:dyDescent="0.35">
      <c r="A20" s="52">
        <v>40544</v>
      </c>
      <c r="B20" s="53">
        <v>31.1</v>
      </c>
      <c r="C20" s="53">
        <v>202.82</v>
      </c>
    </row>
    <row r="21" spans="1:3" x14ac:dyDescent="0.35">
      <c r="A21" s="52">
        <v>40575</v>
      </c>
      <c r="B21" s="53">
        <v>28.1</v>
      </c>
      <c r="C21" s="53">
        <v>198.1</v>
      </c>
    </row>
    <row r="22" spans="1:3" x14ac:dyDescent="0.35">
      <c r="A22" s="52">
        <v>40603</v>
      </c>
      <c r="B22" s="53">
        <v>28.9</v>
      </c>
      <c r="C22" s="53">
        <v>191.78</v>
      </c>
    </row>
    <row r="23" spans="1:3" x14ac:dyDescent="0.35">
      <c r="A23" s="52">
        <v>40634</v>
      </c>
      <c r="B23" s="53">
        <v>29.4</v>
      </c>
      <c r="C23" s="53">
        <v>177.95</v>
      </c>
    </row>
    <row r="24" spans="1:3" x14ac:dyDescent="0.35">
      <c r="A24" s="52">
        <v>40664</v>
      </c>
      <c r="B24" s="53">
        <v>28.4</v>
      </c>
      <c r="C24" s="53">
        <v>186.62</v>
      </c>
    </row>
    <row r="25" spans="1:3" x14ac:dyDescent="0.35">
      <c r="A25" s="52">
        <v>40695</v>
      </c>
      <c r="B25" s="53">
        <v>23.9</v>
      </c>
      <c r="C25" s="53">
        <v>186.59</v>
      </c>
    </row>
    <row r="26" spans="1:3" x14ac:dyDescent="0.35">
      <c r="A26" s="52">
        <v>40725</v>
      </c>
      <c r="B26" s="53">
        <v>18.600000000000001</v>
      </c>
      <c r="C26" s="53">
        <v>190.73</v>
      </c>
    </row>
    <row r="27" spans="1:3" x14ac:dyDescent="0.35">
      <c r="A27" s="52">
        <v>40756</v>
      </c>
      <c r="B27" s="53">
        <v>18.899999999999999</v>
      </c>
      <c r="C27" s="53">
        <v>206.45</v>
      </c>
    </row>
    <row r="28" spans="1:3" x14ac:dyDescent="0.35">
      <c r="A28" s="52">
        <v>40787</v>
      </c>
      <c r="B28" s="53">
        <v>23</v>
      </c>
      <c r="C28" s="53">
        <v>240.73</v>
      </c>
    </row>
    <row r="29" spans="1:3" x14ac:dyDescent="0.35">
      <c r="A29" s="52">
        <v>40817</v>
      </c>
      <c r="B29" s="53">
        <v>27.4</v>
      </c>
      <c r="C29" s="53">
        <v>201.76</v>
      </c>
    </row>
    <row r="30" spans="1:3" x14ac:dyDescent="0.35">
      <c r="A30" s="52">
        <v>40848</v>
      </c>
      <c r="B30" s="53">
        <v>32</v>
      </c>
      <c r="C30" s="53">
        <v>192.5</v>
      </c>
    </row>
    <row r="31" spans="1:3" x14ac:dyDescent="0.35">
      <c r="A31" s="52">
        <v>40878</v>
      </c>
      <c r="B31" s="53">
        <v>34.6</v>
      </c>
      <c r="C31" s="53">
        <v>201.78</v>
      </c>
    </row>
    <row r="32" spans="1:3" x14ac:dyDescent="0.35">
      <c r="A32" s="52">
        <v>40909</v>
      </c>
      <c r="B32" s="53">
        <v>34.1</v>
      </c>
      <c r="C32" s="53">
        <v>236.67</v>
      </c>
    </row>
    <row r="33" spans="1:3" x14ac:dyDescent="0.35">
      <c r="A33" s="52">
        <v>40940</v>
      </c>
      <c r="B33" s="53">
        <v>25.8</v>
      </c>
      <c r="C33" s="53">
        <v>258.10000000000002</v>
      </c>
    </row>
    <row r="34" spans="1:3" x14ac:dyDescent="0.35">
      <c r="A34" s="52">
        <v>40969</v>
      </c>
      <c r="B34" s="53">
        <v>24.8</v>
      </c>
      <c r="C34" s="53">
        <v>241.52</v>
      </c>
    </row>
    <row r="35" spans="1:3" x14ac:dyDescent="0.35">
      <c r="A35" s="52">
        <v>41000</v>
      </c>
      <c r="B35" s="53">
        <v>29.1</v>
      </c>
      <c r="C35" s="53">
        <v>190.71</v>
      </c>
    </row>
    <row r="36" spans="1:3" x14ac:dyDescent="0.35">
      <c r="A36" s="52">
        <v>41030</v>
      </c>
      <c r="B36" s="53">
        <v>28.8</v>
      </c>
      <c r="C36" s="53">
        <v>200.32</v>
      </c>
    </row>
    <row r="37" spans="1:3" x14ac:dyDescent="0.35">
      <c r="A37" s="52">
        <v>41061</v>
      </c>
      <c r="B37" s="53">
        <v>24</v>
      </c>
      <c r="C37" s="53">
        <v>223.41</v>
      </c>
    </row>
    <row r="38" spans="1:3" x14ac:dyDescent="0.35">
      <c r="A38" s="52">
        <v>41091</v>
      </c>
      <c r="B38" s="53">
        <v>20.8</v>
      </c>
      <c r="C38" s="53">
        <v>201.38</v>
      </c>
    </row>
    <row r="39" spans="1:3" x14ac:dyDescent="0.35">
      <c r="A39" s="52">
        <v>41122</v>
      </c>
      <c r="B39" s="53">
        <v>21.8</v>
      </c>
      <c r="C39" s="53">
        <v>211.83</v>
      </c>
    </row>
    <row r="40" spans="1:3" x14ac:dyDescent="0.35">
      <c r="A40" s="52">
        <v>41153</v>
      </c>
      <c r="B40" s="53">
        <v>26.9</v>
      </c>
      <c r="C40" s="53">
        <v>224.41</v>
      </c>
    </row>
    <row r="41" spans="1:3" x14ac:dyDescent="0.35">
      <c r="A41" s="52">
        <v>41183</v>
      </c>
      <c r="B41" s="53">
        <v>32.299999999999997</v>
      </c>
      <c r="C41" s="53">
        <v>211.57</v>
      </c>
    </row>
    <row r="42" spans="1:3" x14ac:dyDescent="0.35">
      <c r="A42" s="52">
        <v>41214</v>
      </c>
      <c r="B42" s="53">
        <v>30</v>
      </c>
      <c r="C42" s="53">
        <v>194.77</v>
      </c>
    </row>
    <row r="43" spans="1:3" x14ac:dyDescent="0.35">
      <c r="A43" s="52">
        <v>41244</v>
      </c>
      <c r="B43" s="53">
        <v>29.8</v>
      </c>
      <c r="C43" s="53">
        <v>201.86</v>
      </c>
    </row>
    <row r="44" spans="1:3" x14ac:dyDescent="0.35">
      <c r="A44" s="52">
        <v>41275</v>
      </c>
      <c r="B44" s="53">
        <v>17.899999999999999</v>
      </c>
      <c r="C44" s="53">
        <v>225</v>
      </c>
    </row>
    <row r="45" spans="1:3" x14ac:dyDescent="0.35">
      <c r="A45" s="52">
        <v>41306</v>
      </c>
      <c r="B45" s="53">
        <v>11.7</v>
      </c>
      <c r="C45" s="53">
        <v>278.89999999999998</v>
      </c>
    </row>
    <row r="46" spans="1:3" x14ac:dyDescent="0.35">
      <c r="A46" s="52">
        <v>41334</v>
      </c>
      <c r="B46" s="53">
        <v>19.899999999999999</v>
      </c>
      <c r="C46" s="53">
        <v>259.74</v>
      </c>
    </row>
    <row r="47" spans="1:3" x14ac:dyDescent="0.35">
      <c r="A47" s="52">
        <v>41365</v>
      </c>
      <c r="B47" s="53">
        <v>30.4</v>
      </c>
      <c r="C47" s="53">
        <v>230.45</v>
      </c>
    </row>
    <row r="48" spans="1:3" x14ac:dyDescent="0.35">
      <c r="A48" s="52">
        <v>41395</v>
      </c>
      <c r="B48" s="53">
        <v>26.4</v>
      </c>
      <c r="C48" s="53">
        <v>238.26</v>
      </c>
    </row>
    <row r="49" spans="1:3" x14ac:dyDescent="0.35">
      <c r="A49" s="52">
        <v>41426</v>
      </c>
      <c r="B49" s="53">
        <v>27.7</v>
      </c>
      <c r="C49" s="53">
        <v>250.14</v>
      </c>
    </row>
    <row r="50" spans="1:3" x14ac:dyDescent="0.35">
      <c r="A50" s="52">
        <v>41456</v>
      </c>
      <c r="B50" s="53">
        <v>23.8</v>
      </c>
      <c r="C50" s="53">
        <v>263.81</v>
      </c>
    </row>
    <row r="51" spans="1:3" x14ac:dyDescent="0.35">
      <c r="A51" s="52">
        <v>41487</v>
      </c>
      <c r="B51" s="53">
        <v>23.2</v>
      </c>
      <c r="C51" s="53">
        <v>247.22</v>
      </c>
    </row>
    <row r="52" spans="1:3" x14ac:dyDescent="0.35">
      <c r="A52" s="52">
        <v>41518</v>
      </c>
      <c r="B52" s="53">
        <v>28.6</v>
      </c>
      <c r="C52" s="53">
        <v>229.81</v>
      </c>
    </row>
    <row r="53" spans="1:3" x14ac:dyDescent="0.35">
      <c r="A53" s="52">
        <v>41548</v>
      </c>
      <c r="B53" s="53">
        <v>34.799999999999997</v>
      </c>
      <c r="C53" s="53">
        <v>224.27</v>
      </c>
    </row>
    <row r="54" spans="1:3" x14ac:dyDescent="0.35">
      <c r="A54" s="52">
        <v>41579</v>
      </c>
      <c r="B54" s="53">
        <v>31.6</v>
      </c>
      <c r="C54" s="53">
        <v>213.23</v>
      </c>
    </row>
    <row r="55" spans="1:3" x14ac:dyDescent="0.35">
      <c r="A55" s="52">
        <v>41609</v>
      </c>
      <c r="B55" s="53">
        <v>34.4</v>
      </c>
      <c r="C55" s="53">
        <v>239.57</v>
      </c>
    </row>
    <row r="56" spans="1:3" x14ac:dyDescent="0.35">
      <c r="A56" s="52">
        <v>41640</v>
      </c>
      <c r="B56" s="53">
        <v>41.6</v>
      </c>
      <c r="C56" s="53">
        <v>249.7</v>
      </c>
    </row>
    <row r="57" spans="1:3" x14ac:dyDescent="0.35">
      <c r="A57" s="52">
        <v>41671</v>
      </c>
      <c r="B57" s="53">
        <v>34.799999999999997</v>
      </c>
      <c r="C57" s="53">
        <v>212.5</v>
      </c>
    </row>
    <row r="58" spans="1:3" x14ac:dyDescent="0.35">
      <c r="A58" s="52">
        <v>41699</v>
      </c>
      <c r="B58" s="53">
        <v>32.200000000000003</v>
      </c>
      <c r="C58" s="53">
        <v>203.27</v>
      </c>
    </row>
    <row r="59" spans="1:3" x14ac:dyDescent="0.35">
      <c r="A59" s="52">
        <v>41730</v>
      </c>
      <c r="B59" s="53">
        <v>30.7</v>
      </c>
      <c r="C59" s="53">
        <v>192.05</v>
      </c>
    </row>
    <row r="60" spans="1:3" x14ac:dyDescent="0.35">
      <c r="A60" s="52">
        <v>41760</v>
      </c>
      <c r="B60" s="53">
        <v>32.1</v>
      </c>
      <c r="C60" s="53">
        <v>190.04</v>
      </c>
    </row>
    <row r="61" spans="1:3" x14ac:dyDescent="0.35">
      <c r="A61" s="52">
        <v>41791</v>
      </c>
      <c r="B61" s="53">
        <v>27.3</v>
      </c>
      <c r="C61" s="53">
        <v>202.05</v>
      </c>
    </row>
    <row r="62" spans="1:3" x14ac:dyDescent="0.35">
      <c r="A62" s="52">
        <v>41821</v>
      </c>
      <c r="B62" s="53">
        <v>22.7</v>
      </c>
      <c r="C62" s="53">
        <v>211.91</v>
      </c>
    </row>
    <row r="63" spans="1:3" x14ac:dyDescent="0.35">
      <c r="A63" s="52">
        <v>41852</v>
      </c>
      <c r="B63" s="53">
        <v>22.7</v>
      </c>
      <c r="C63" s="53">
        <v>210.39</v>
      </c>
    </row>
    <row r="64" spans="1:3" x14ac:dyDescent="0.35">
      <c r="A64" s="52">
        <v>41883</v>
      </c>
      <c r="B64" s="53">
        <v>28.9</v>
      </c>
      <c r="C64" s="53">
        <v>231.25</v>
      </c>
    </row>
    <row r="65" spans="1:3" x14ac:dyDescent="0.35">
      <c r="A65" s="52">
        <v>41913</v>
      </c>
      <c r="B65" s="53">
        <v>35.200000000000003</v>
      </c>
      <c r="C65" s="53">
        <v>224.3</v>
      </c>
    </row>
    <row r="66" spans="1:3" x14ac:dyDescent="0.35">
      <c r="A66" s="52">
        <v>41944</v>
      </c>
      <c r="B66" s="53">
        <v>32.299999999999997</v>
      </c>
      <c r="C66" s="53">
        <v>209.64</v>
      </c>
    </row>
    <row r="67" spans="1:3" x14ac:dyDescent="0.35">
      <c r="A67" s="52">
        <v>41974</v>
      </c>
      <c r="B67" s="53">
        <v>28.8</v>
      </c>
      <c r="C67" s="53">
        <v>206.05</v>
      </c>
    </row>
    <row r="68" spans="1:3" x14ac:dyDescent="0.35">
      <c r="A68" s="52">
        <v>42005</v>
      </c>
      <c r="B68" s="53">
        <v>29.7</v>
      </c>
      <c r="C68" s="53">
        <v>229.7</v>
      </c>
    </row>
    <row r="69" spans="1:3" x14ac:dyDescent="0.35">
      <c r="A69" s="52">
        <v>42036</v>
      </c>
      <c r="B69" s="53">
        <v>24.1</v>
      </c>
      <c r="C69" s="53">
        <v>264.67</v>
      </c>
    </row>
    <row r="70" spans="1:3" x14ac:dyDescent="0.35">
      <c r="A70" s="52">
        <v>42064</v>
      </c>
      <c r="B70" s="53">
        <v>16.899999999999999</v>
      </c>
      <c r="C70" s="53">
        <v>246.29</v>
      </c>
    </row>
    <row r="71" spans="1:3" x14ac:dyDescent="0.35">
      <c r="A71" s="52">
        <v>42095</v>
      </c>
      <c r="B71" s="53">
        <v>27.4</v>
      </c>
      <c r="C71" s="53">
        <v>260.91000000000003</v>
      </c>
    </row>
    <row r="72" spans="1:3" x14ac:dyDescent="0.35">
      <c r="A72" s="52">
        <v>42125</v>
      </c>
      <c r="B72" s="53">
        <v>36.4</v>
      </c>
      <c r="C72" s="53">
        <v>265.14</v>
      </c>
    </row>
    <row r="73" spans="1:3" x14ac:dyDescent="0.35">
      <c r="A73" s="52">
        <v>42156</v>
      </c>
      <c r="B73" s="53">
        <v>22.8</v>
      </c>
      <c r="C73" s="53">
        <v>284.52</v>
      </c>
    </row>
    <row r="74" spans="1:3" x14ac:dyDescent="0.35">
      <c r="A74" s="52">
        <v>42186</v>
      </c>
      <c r="B74" s="53">
        <v>24.2</v>
      </c>
      <c r="C74" s="53">
        <v>287.48</v>
      </c>
    </row>
    <row r="75" spans="1:3" x14ac:dyDescent="0.35">
      <c r="A75" s="52">
        <v>42217</v>
      </c>
      <c r="B75" s="53">
        <v>24.5</v>
      </c>
      <c r="C75" s="53">
        <v>321.89999999999998</v>
      </c>
    </row>
    <row r="76" spans="1:3" x14ac:dyDescent="0.35">
      <c r="A76" s="52">
        <v>42248</v>
      </c>
      <c r="B76" s="53">
        <v>32</v>
      </c>
      <c r="C76" s="53">
        <v>321.58999999999997</v>
      </c>
    </row>
    <row r="77" spans="1:3" x14ac:dyDescent="0.35">
      <c r="A77" s="52">
        <v>42278</v>
      </c>
      <c r="B77" s="53">
        <v>35.299999999999997</v>
      </c>
      <c r="C77" s="53">
        <v>282.39</v>
      </c>
    </row>
    <row r="78" spans="1:3" x14ac:dyDescent="0.35">
      <c r="A78" s="52">
        <v>42309</v>
      </c>
      <c r="B78" s="53">
        <v>34.4</v>
      </c>
      <c r="C78" s="53">
        <v>241</v>
      </c>
    </row>
    <row r="79" spans="1:3" x14ac:dyDescent="0.35">
      <c r="A79" s="52">
        <v>42339</v>
      </c>
      <c r="B79" s="53">
        <v>37.9</v>
      </c>
      <c r="C79" s="53">
        <v>228.48</v>
      </c>
    </row>
    <row r="80" spans="1:3" x14ac:dyDescent="0.35">
      <c r="A80" s="52">
        <v>42370</v>
      </c>
      <c r="B80" s="53">
        <v>25.5</v>
      </c>
      <c r="C80" s="53">
        <v>261.58999999999997</v>
      </c>
    </row>
    <row r="81" spans="1:3" x14ac:dyDescent="0.35">
      <c r="A81" s="52">
        <v>42401</v>
      </c>
      <c r="B81" s="53">
        <v>21.5</v>
      </c>
      <c r="C81" s="53">
        <v>270</v>
      </c>
    </row>
    <row r="82" spans="1:3" x14ac:dyDescent="0.35">
      <c r="A82" s="52">
        <v>42430</v>
      </c>
      <c r="B82" s="53">
        <v>18.8</v>
      </c>
      <c r="C82" s="53">
        <v>262.86</v>
      </c>
    </row>
    <row r="83" spans="1:3" x14ac:dyDescent="0.35">
      <c r="A83" s="52">
        <v>42461</v>
      </c>
      <c r="B83" s="53">
        <v>18.3</v>
      </c>
      <c r="C83" s="53">
        <v>277.41000000000003</v>
      </c>
    </row>
    <row r="84" spans="1:3" x14ac:dyDescent="0.35">
      <c r="A84" s="52">
        <v>42491</v>
      </c>
      <c r="B84" s="53">
        <v>29.8</v>
      </c>
      <c r="C84" s="53">
        <v>288</v>
      </c>
    </row>
    <row r="85" spans="1:3" x14ac:dyDescent="0.35">
      <c r="A85" s="52">
        <v>42522</v>
      </c>
      <c r="B85" s="53">
        <v>25.3</v>
      </c>
      <c r="C85" s="53">
        <v>287.14</v>
      </c>
    </row>
    <row r="86" spans="1:3" x14ac:dyDescent="0.35">
      <c r="A86" s="52">
        <v>42552</v>
      </c>
      <c r="B86" s="53">
        <v>21.5</v>
      </c>
      <c r="C86" s="53">
        <v>337.65</v>
      </c>
    </row>
    <row r="87" spans="1:3" x14ac:dyDescent="0.35">
      <c r="A87" s="52">
        <v>42583</v>
      </c>
      <c r="B87" s="53">
        <v>21.2</v>
      </c>
      <c r="C87" s="53">
        <v>328.38</v>
      </c>
    </row>
    <row r="88" spans="1:3" x14ac:dyDescent="0.35">
      <c r="A88" s="52">
        <v>42614</v>
      </c>
      <c r="B88" s="53">
        <v>27.4</v>
      </c>
      <c r="C88" s="53">
        <v>374.41</v>
      </c>
    </row>
    <row r="89" spans="1:3" x14ac:dyDescent="0.35">
      <c r="A89" s="52">
        <v>42644</v>
      </c>
      <c r="B89" s="53">
        <v>32.799999999999997</v>
      </c>
      <c r="C89" s="53">
        <v>344.77</v>
      </c>
    </row>
    <row r="90" spans="1:3" x14ac:dyDescent="0.35">
      <c r="A90" s="52">
        <v>42675</v>
      </c>
      <c r="B90" s="53">
        <v>35.9</v>
      </c>
      <c r="C90" s="53">
        <v>361.05</v>
      </c>
    </row>
    <row r="91" spans="1:3" x14ac:dyDescent="0.35">
      <c r="A91" s="52">
        <v>42705</v>
      </c>
      <c r="B91" s="53">
        <v>36.1</v>
      </c>
      <c r="C91" s="53">
        <v>374.22</v>
      </c>
    </row>
    <row r="92" spans="1:3" x14ac:dyDescent="0.35">
      <c r="A92" s="52">
        <v>42736</v>
      </c>
      <c r="B92" s="53">
        <v>37.700000000000003</v>
      </c>
      <c r="C92" s="53">
        <v>338.66666666666703</v>
      </c>
    </row>
    <row r="93" spans="1:3" x14ac:dyDescent="0.35">
      <c r="A93" s="52">
        <v>42767</v>
      </c>
      <c r="B93" s="53">
        <v>34.799999999999997</v>
      </c>
      <c r="C93" s="53">
        <v>332.35</v>
      </c>
    </row>
    <row r="94" spans="1:3" x14ac:dyDescent="0.35">
      <c r="A94" s="52">
        <v>42795</v>
      </c>
      <c r="B94" s="53">
        <v>39.200000000000003</v>
      </c>
      <c r="C94" s="53">
        <v>332.60869565217399</v>
      </c>
    </row>
    <row r="95" spans="1:3" x14ac:dyDescent="0.35">
      <c r="A95" s="52">
        <v>42826</v>
      </c>
      <c r="B95" s="53">
        <v>35.9</v>
      </c>
      <c r="C95" s="53">
        <v>313.59090909090901</v>
      </c>
    </row>
    <row r="96" spans="1:3" x14ac:dyDescent="0.35">
      <c r="A96" s="52">
        <v>42856</v>
      </c>
      <c r="B96" s="53">
        <v>35.6</v>
      </c>
      <c r="C96" s="53">
        <v>286.142857142857</v>
      </c>
    </row>
    <row r="97" spans="1:4" x14ac:dyDescent="0.35">
      <c r="A97" s="52">
        <v>42887</v>
      </c>
      <c r="B97" s="53">
        <v>29.8</v>
      </c>
      <c r="C97" s="53">
        <v>262.36363636363598</v>
      </c>
    </row>
    <row r="98" spans="1:4" x14ac:dyDescent="0.35">
      <c r="A98" s="52">
        <v>42917</v>
      </c>
      <c r="B98" s="53">
        <v>24.4</v>
      </c>
      <c r="C98" s="53">
        <v>259.18181818181802</v>
      </c>
    </row>
    <row r="99" spans="1:4" x14ac:dyDescent="0.35">
      <c r="A99" s="52">
        <v>42948</v>
      </c>
      <c r="B99" s="53">
        <v>23.1</v>
      </c>
      <c r="C99" s="53">
        <v>315.09090909090901</v>
      </c>
    </row>
    <row r="100" spans="1:4" x14ac:dyDescent="0.35">
      <c r="A100" s="52">
        <v>42979</v>
      </c>
      <c r="B100" s="53">
        <v>28.8</v>
      </c>
      <c r="C100" s="53">
        <v>337.18181818181802</v>
      </c>
    </row>
    <row r="101" spans="1:4" x14ac:dyDescent="0.35">
      <c r="A101" s="52">
        <v>43009</v>
      </c>
      <c r="B101" s="53">
        <v>34.1</v>
      </c>
      <c r="C101" s="53">
        <v>339.857142857143</v>
      </c>
    </row>
    <row r="102" spans="1:4" x14ac:dyDescent="0.35">
      <c r="A102" s="52">
        <v>43040</v>
      </c>
      <c r="B102" s="53">
        <v>37</v>
      </c>
      <c r="C102" s="53">
        <v>331.68181818181802</v>
      </c>
    </row>
    <row r="103" spans="1:4" x14ac:dyDescent="0.35">
      <c r="A103" s="52">
        <v>43070</v>
      </c>
      <c r="B103" s="53">
        <v>38.299999999999997</v>
      </c>
      <c r="C103" s="53">
        <v>352.13043478260897</v>
      </c>
    </row>
    <row r="104" spans="1:4" x14ac:dyDescent="0.35">
      <c r="A104" s="52">
        <v>43101</v>
      </c>
      <c r="B104" s="53">
        <v>35.9</v>
      </c>
      <c r="C104" s="53">
        <v>368.09523809523802</v>
      </c>
    </row>
    <row r="105" spans="1:4" x14ac:dyDescent="0.35">
      <c r="A105" s="52">
        <v>43132</v>
      </c>
      <c r="B105" s="53">
        <v>26.7</v>
      </c>
      <c r="C105" s="53">
        <v>349.75</v>
      </c>
    </row>
    <row r="106" spans="1:4" x14ac:dyDescent="0.35">
      <c r="A106" s="52">
        <v>43160</v>
      </c>
      <c r="B106" s="53">
        <v>22.4</v>
      </c>
      <c r="C106" s="53">
        <v>330.65217391304299</v>
      </c>
    </row>
    <row r="107" spans="1:4" x14ac:dyDescent="0.35">
      <c r="A107" s="52">
        <v>43191</v>
      </c>
      <c r="B107" s="53">
        <v>31.4</v>
      </c>
      <c r="C107" s="53">
        <v>325.33333333333297</v>
      </c>
    </row>
    <row r="108" spans="1:4" x14ac:dyDescent="0.35">
      <c r="A108" s="52">
        <v>43221</v>
      </c>
      <c r="B108" s="53">
        <v>32.799999999999997</v>
      </c>
      <c r="C108" s="53">
        <v>327.68181818181802</v>
      </c>
      <c r="D108" s="5"/>
    </row>
    <row r="109" spans="1:4" x14ac:dyDescent="0.35">
      <c r="A109" s="52">
        <v>43252</v>
      </c>
      <c r="B109" s="53">
        <v>28.9</v>
      </c>
      <c r="C109" s="53">
        <v>334.04545454545502</v>
      </c>
      <c r="D109" s="5"/>
    </row>
    <row r="110" spans="1:4" x14ac:dyDescent="0.35">
      <c r="A110" s="52">
        <v>43282</v>
      </c>
      <c r="B110" s="53">
        <v>26.3</v>
      </c>
      <c r="C110" s="53">
        <v>356.142857142857</v>
      </c>
      <c r="D110" s="5"/>
    </row>
    <row r="111" spans="1:4" x14ac:dyDescent="0.35">
      <c r="A111" s="52">
        <v>43313</v>
      </c>
      <c r="B111" s="53">
        <v>24.4</v>
      </c>
      <c r="C111" s="53">
        <v>358.17391304347802</v>
      </c>
      <c r="D111" s="5"/>
    </row>
    <row r="112" spans="1:4" x14ac:dyDescent="0.35">
      <c r="A112" s="52">
        <v>43344</v>
      </c>
      <c r="B112" s="53">
        <v>30.5</v>
      </c>
      <c r="C112" s="53">
        <v>362.27272727272702</v>
      </c>
      <c r="D112" s="5"/>
    </row>
    <row r="113" spans="1:5" x14ac:dyDescent="0.35">
      <c r="A113" s="52">
        <v>43374</v>
      </c>
      <c r="B113" s="53">
        <v>39.9</v>
      </c>
      <c r="C113" s="53">
        <v>357.142857142857</v>
      </c>
      <c r="D113" s="5"/>
    </row>
    <row r="114" spans="1:5" x14ac:dyDescent="0.35">
      <c r="A114" s="52">
        <v>43405</v>
      </c>
      <c r="B114" s="53">
        <v>36.799999999999997</v>
      </c>
      <c r="C114" s="53">
        <v>351.27272727272702</v>
      </c>
      <c r="E114" s="5"/>
    </row>
    <row r="115" spans="1:5" x14ac:dyDescent="0.35">
      <c r="A115" s="52">
        <v>43435</v>
      </c>
      <c r="B115" s="53">
        <v>41.3</v>
      </c>
      <c r="C115" s="53">
        <v>333.36363636363598</v>
      </c>
      <c r="E115" s="17" t="s">
        <v>44</v>
      </c>
    </row>
    <row r="116" spans="1:5" x14ac:dyDescent="0.35">
      <c r="A116" s="52">
        <v>43466</v>
      </c>
      <c r="B116" s="53">
        <v>36.200000000000003</v>
      </c>
      <c r="C116" s="53">
        <v>337.27272727272702</v>
      </c>
    </row>
    <row r="117" spans="1:5" x14ac:dyDescent="0.35">
      <c r="A117" s="52">
        <v>43497</v>
      </c>
      <c r="B117" s="53">
        <v>18.399999999999999</v>
      </c>
      <c r="C117" s="53">
        <v>341</v>
      </c>
    </row>
    <row r="118" spans="1:5" ht="16.149999999999999" customHeight="1" x14ac:dyDescent="0.35">
      <c r="A118" s="52">
        <v>43525</v>
      </c>
      <c r="B118" s="53">
        <v>17.8</v>
      </c>
      <c r="C118" s="53">
        <v>341</v>
      </c>
    </row>
    <row r="119" spans="1:5" x14ac:dyDescent="0.35">
      <c r="A119" s="52">
        <v>43556</v>
      </c>
      <c r="B119" s="53">
        <v>18.100000000000001</v>
      </c>
      <c r="C119" s="53">
        <v>341</v>
      </c>
    </row>
    <row r="120" spans="1:5" x14ac:dyDescent="0.35">
      <c r="A120" s="52">
        <v>43586</v>
      </c>
      <c r="B120" s="53">
        <v>37.299999999999997</v>
      </c>
      <c r="C120" s="53">
        <v>341</v>
      </c>
    </row>
    <row r="121" spans="1:5" x14ac:dyDescent="0.35">
      <c r="A121" s="52">
        <v>43617</v>
      </c>
      <c r="B121" s="53">
        <v>30.2</v>
      </c>
      <c r="C121" s="53">
        <v>341</v>
      </c>
    </row>
    <row r="122" spans="1:5" x14ac:dyDescent="0.35">
      <c r="A122" s="52">
        <v>43647</v>
      </c>
      <c r="B122" s="53">
        <v>24.3</v>
      </c>
      <c r="C122" s="53">
        <v>345.58800000000002</v>
      </c>
    </row>
    <row r="123" spans="1:5" x14ac:dyDescent="0.35">
      <c r="A123" s="52">
        <v>43678</v>
      </c>
      <c r="B123" s="53">
        <v>31.9</v>
      </c>
      <c r="C123" s="53">
        <v>353.17715942029002</v>
      </c>
    </row>
    <row r="124" spans="1:5" x14ac:dyDescent="0.35">
      <c r="A124" s="52">
        <v>43709</v>
      </c>
      <c r="B124" s="53">
        <v>33.5</v>
      </c>
      <c r="C124" s="53">
        <v>358.23186666666697</v>
      </c>
    </row>
    <row r="125" spans="1:5" x14ac:dyDescent="0.35">
      <c r="A125" s="52">
        <v>43739</v>
      </c>
      <c r="B125" s="53">
        <v>40.200000000000003</v>
      </c>
      <c r="C125" s="53">
        <v>368.161391304348</v>
      </c>
    </row>
    <row r="126" spans="1:5" x14ac:dyDescent="0.35">
      <c r="A126" s="52">
        <v>43770</v>
      </c>
      <c r="B126" s="53">
        <v>39.9</v>
      </c>
      <c r="C126" s="53">
        <v>368.11466666666701</v>
      </c>
    </row>
    <row r="127" spans="1:5" x14ac:dyDescent="0.35">
      <c r="A127" s="52">
        <v>43800</v>
      </c>
      <c r="B127" s="53">
        <v>41.4</v>
      </c>
      <c r="C127" s="53">
        <v>351.435682539683</v>
      </c>
    </row>
    <row r="128" spans="1:5" x14ac:dyDescent="0.35">
      <c r="A128" s="52">
        <v>43831</v>
      </c>
      <c r="B128" s="53">
        <v>45.3</v>
      </c>
      <c r="C128" s="53">
        <v>338.86504347826099</v>
      </c>
    </row>
    <row r="129" spans="1:11" x14ac:dyDescent="0.35">
      <c r="A129" s="52">
        <v>43862</v>
      </c>
      <c r="B129" s="53">
        <v>38.5</v>
      </c>
      <c r="C129" s="53">
        <v>320.903733333334</v>
      </c>
    </row>
    <row r="130" spans="1:11" x14ac:dyDescent="0.35">
      <c r="A130" s="52">
        <v>43891</v>
      </c>
      <c r="B130" s="53">
        <v>33.299999999999997</v>
      </c>
      <c r="C130" s="53">
        <v>297.39530158730201</v>
      </c>
    </row>
    <row r="131" spans="1:11" x14ac:dyDescent="0.35">
      <c r="A131" s="52">
        <v>43922</v>
      </c>
      <c r="B131" s="53">
        <v>38.200000000000003</v>
      </c>
      <c r="C131" s="53">
        <v>266.31066666666698</v>
      </c>
      <c r="G131" s="1" t="s">
        <v>299</v>
      </c>
      <c r="H131" s="1">
        <f>INTERCEPT(C8:C162,A8:A162)</f>
        <v>-953.18375434133941</v>
      </c>
    </row>
    <row r="132" spans="1:11" x14ac:dyDescent="0.35">
      <c r="A132" s="52">
        <v>43952</v>
      </c>
      <c r="B132" s="53">
        <v>39.6</v>
      </c>
      <c r="C132" s="53">
        <v>272.36510144927598</v>
      </c>
      <c r="G132" s="1" t="s">
        <v>300</v>
      </c>
      <c r="H132" s="1">
        <f>SLOPE(C8:C162,A8:A162)</f>
        <v>2.8740276727725389E-2</v>
      </c>
      <c r="J132" s="1" t="s">
        <v>377</v>
      </c>
      <c r="K132" s="1" t="s">
        <v>378</v>
      </c>
    </row>
    <row r="133" spans="1:11" ht="18.5" x14ac:dyDescent="0.35">
      <c r="A133" s="52">
        <v>43983</v>
      </c>
      <c r="B133" s="53">
        <v>30.5</v>
      </c>
      <c r="C133" s="53">
        <v>258.70533333333299</v>
      </c>
      <c r="G133" s="1" t="s">
        <v>375</v>
      </c>
      <c r="H133" s="1">
        <f>RSQ(C8:C162,A8:A162)</f>
        <v>0.413295650406309</v>
      </c>
      <c r="J133" s="1">
        <f>H133</f>
        <v>0.413295650406309</v>
      </c>
      <c r="K133" s="1">
        <f>1-J133</f>
        <v>0.586704349593691</v>
      </c>
    </row>
    <row r="134" spans="1:11" x14ac:dyDescent="0.35">
      <c r="A134" s="52">
        <v>44013</v>
      </c>
      <c r="B134" s="53">
        <v>26.2</v>
      </c>
      <c r="C134" s="53">
        <v>256.15524637681199</v>
      </c>
      <c r="G134" s="1" t="s">
        <v>376</v>
      </c>
      <c r="H134" s="1">
        <f>CORREL(C8:C162,A8:A162)</f>
        <v>0.64288074353359581</v>
      </c>
    </row>
    <row r="135" spans="1:11" x14ac:dyDescent="0.35">
      <c r="A135" s="52">
        <v>44044</v>
      </c>
      <c r="B135" s="53">
        <v>26.3</v>
      </c>
      <c r="C135" s="53">
        <v>248.041333333333</v>
      </c>
    </row>
    <row r="136" spans="1:11" x14ac:dyDescent="0.35">
      <c r="A136" s="52">
        <v>44075</v>
      </c>
      <c r="B136" s="53">
        <v>32.799999999999997</v>
      </c>
      <c r="C136" s="53">
        <v>230.494349206349</v>
      </c>
    </row>
    <row r="137" spans="1:11" x14ac:dyDescent="0.35">
      <c r="A137" s="52">
        <v>44105</v>
      </c>
      <c r="B137" s="53">
        <v>44.3</v>
      </c>
      <c r="C137" s="53">
        <v>221.71918840579701</v>
      </c>
    </row>
    <row r="138" spans="1:11" x14ac:dyDescent="0.35">
      <c r="A138" s="52">
        <v>44136</v>
      </c>
      <c r="B138" s="53">
        <v>35.5</v>
      </c>
      <c r="C138" s="53">
        <v>235.257523809524</v>
      </c>
    </row>
    <row r="139" spans="1:11" x14ac:dyDescent="0.35">
      <c r="A139" s="52">
        <v>44166</v>
      </c>
      <c r="B139" s="53">
        <v>41.7</v>
      </c>
      <c r="C139" s="53">
        <v>245.68533333333301</v>
      </c>
    </row>
    <row r="140" spans="1:11" x14ac:dyDescent="0.35">
      <c r="A140" s="52">
        <v>44197</v>
      </c>
      <c r="B140" s="53">
        <v>44.9</v>
      </c>
      <c r="C140" s="53">
        <v>248.99918840579701</v>
      </c>
    </row>
    <row r="141" spans="1:11" x14ac:dyDescent="0.35">
      <c r="A141" s="52">
        <v>44228</v>
      </c>
      <c r="B141" s="53">
        <v>33.700000000000003</v>
      </c>
      <c r="C141" s="53">
        <v>256.9776</v>
      </c>
    </row>
    <row r="142" spans="1:11" x14ac:dyDescent="0.35">
      <c r="A142" s="52">
        <v>44256</v>
      </c>
      <c r="B142" s="53">
        <v>33.299999999999997</v>
      </c>
      <c r="C142" s="53">
        <v>237.72571428571399</v>
      </c>
    </row>
    <row r="143" spans="1:11" x14ac:dyDescent="0.35">
      <c r="A143" s="52">
        <v>44287</v>
      </c>
      <c r="B143" s="53">
        <v>39.9</v>
      </c>
      <c r="C143" s="53">
        <v>223.40666666666701</v>
      </c>
    </row>
    <row r="144" spans="1:11" x14ac:dyDescent="0.35">
      <c r="A144" s="52">
        <v>44317</v>
      </c>
      <c r="B144" s="53">
        <v>41.1</v>
      </c>
      <c r="C144" s="53">
        <v>219.52133333333299</v>
      </c>
    </row>
    <row r="145" spans="1:3" x14ac:dyDescent="0.35">
      <c r="A145" s="52">
        <v>44348</v>
      </c>
      <c r="B145" s="53">
        <v>31.9</v>
      </c>
      <c r="C145" s="53">
        <v>223.696</v>
      </c>
    </row>
    <row r="146" spans="1:3" x14ac:dyDescent="0.35">
      <c r="A146" s="52">
        <v>44378</v>
      </c>
      <c r="B146" s="53">
        <v>30.8</v>
      </c>
      <c r="C146" s="53">
        <v>232.39397101449299</v>
      </c>
    </row>
    <row r="147" spans="1:3" x14ac:dyDescent="0.35">
      <c r="A147" s="52">
        <v>44409</v>
      </c>
      <c r="B147" s="53">
        <v>26.8</v>
      </c>
      <c r="C147" s="53">
        <v>235.77714285714299</v>
      </c>
    </row>
    <row r="148" spans="1:3" x14ac:dyDescent="0.35">
      <c r="A148" s="52">
        <v>44440</v>
      </c>
      <c r="B148" s="53">
        <v>33.299999999999997</v>
      </c>
      <c r="C148" s="53">
        <v>232.95466666666701</v>
      </c>
    </row>
    <row r="149" spans="1:3" x14ac:dyDescent="0.35">
      <c r="A149" s="52">
        <v>44470</v>
      </c>
      <c r="B149" s="53">
        <v>45.4</v>
      </c>
      <c r="C149" s="53">
        <v>256.19478260869602</v>
      </c>
    </row>
    <row r="150" spans="1:3" x14ac:dyDescent="0.35">
      <c r="A150" s="52">
        <v>44501</v>
      </c>
      <c r="B150" s="53">
        <v>38.6</v>
      </c>
      <c r="C150" s="53">
        <v>243.33760000000001</v>
      </c>
    </row>
    <row r="151" spans="1:3" x14ac:dyDescent="0.35">
      <c r="A151" s="52">
        <v>44531</v>
      </c>
      <c r="B151" s="53">
        <v>45.1</v>
      </c>
      <c r="C151" s="53">
        <v>243.305971014493</v>
      </c>
    </row>
    <row r="152" spans="1:3" x14ac:dyDescent="0.35">
      <c r="A152" s="52">
        <v>44562</v>
      </c>
      <c r="B152" s="53">
        <v>41.7</v>
      </c>
      <c r="C152" s="53">
        <v>269.61733333333302</v>
      </c>
    </row>
    <row r="153" spans="1:3" x14ac:dyDescent="0.35">
      <c r="A153" s="52">
        <v>44593</v>
      </c>
      <c r="B153" s="53">
        <v>24.3</v>
      </c>
      <c r="C153" s="53">
        <v>296.35173333333398</v>
      </c>
    </row>
    <row r="154" spans="1:3" x14ac:dyDescent="0.35">
      <c r="A154" s="52">
        <v>44621</v>
      </c>
      <c r="B154" s="53">
        <v>15.7</v>
      </c>
      <c r="C154" s="53">
        <v>307.56133333333401</v>
      </c>
    </row>
    <row r="155" spans="1:3" x14ac:dyDescent="0.35">
      <c r="A155" s="52">
        <v>44652</v>
      </c>
      <c r="B155" s="53">
        <v>23.8</v>
      </c>
      <c r="C155" s="53">
        <v>290.73866666666697</v>
      </c>
    </row>
    <row r="156" spans="1:3" x14ac:dyDescent="0.35">
      <c r="A156" s="52">
        <v>44682</v>
      </c>
      <c r="B156" s="53">
        <v>37.5</v>
      </c>
      <c r="C156" s="53">
        <v>313.80660317460303</v>
      </c>
    </row>
    <row r="157" spans="1:3" x14ac:dyDescent="0.35">
      <c r="A157" s="52">
        <v>44713</v>
      </c>
      <c r="B157" s="53">
        <v>32.200000000000003</v>
      </c>
      <c r="C157" s="53">
        <v>355.88</v>
      </c>
    </row>
    <row r="158" spans="1:3" x14ac:dyDescent="0.35">
      <c r="A158" s="52">
        <v>44743</v>
      </c>
      <c r="B158" s="53">
        <v>30.94</v>
      </c>
      <c r="C158" s="53">
        <v>403.032347826087</v>
      </c>
    </row>
    <row r="159" spans="1:3" x14ac:dyDescent="0.35">
      <c r="A159" s="52">
        <v>44774</v>
      </c>
      <c r="B159" s="53">
        <v>28.41</v>
      </c>
      <c r="C159" s="53">
        <v>387.33269841269902</v>
      </c>
    </row>
    <row r="160" spans="1:3" x14ac:dyDescent="0.35">
      <c r="A160" s="52">
        <v>44805</v>
      </c>
      <c r="B160" s="53">
        <v>36.840000000000003</v>
      </c>
      <c r="C160" s="53">
        <v>371.21466666666697</v>
      </c>
    </row>
    <row r="161" spans="1:18" x14ac:dyDescent="0.35">
      <c r="A161" s="52">
        <v>44835</v>
      </c>
      <c r="B161" s="53">
        <v>41.34</v>
      </c>
      <c r="C161" s="53">
        <v>391.84</v>
      </c>
    </row>
    <row r="162" spans="1:18" x14ac:dyDescent="0.35">
      <c r="A162" s="52">
        <v>44866</v>
      </c>
      <c r="B162" s="53">
        <v>40.380000000000003</v>
      </c>
      <c r="C162" s="53">
        <v>353.77396825396801</v>
      </c>
    </row>
    <row r="163" spans="1:18" x14ac:dyDescent="0.35">
      <c r="I163" s="54"/>
      <c r="P163" s="52"/>
      <c r="Q163" s="55"/>
      <c r="R163" s="55"/>
    </row>
    <row r="164" spans="1:18" x14ac:dyDescent="0.35">
      <c r="A164" s="2" t="s">
        <v>0</v>
      </c>
      <c r="C164" s="17"/>
      <c r="J164" s="33"/>
      <c r="P164" s="52"/>
      <c r="Q164" s="55"/>
      <c r="R164" s="55"/>
    </row>
    <row r="165" spans="1:18" x14ac:dyDescent="0.35">
      <c r="A165" s="1" t="s">
        <v>122</v>
      </c>
      <c r="C165" s="17"/>
      <c r="L165" s="56" t="s">
        <v>123</v>
      </c>
      <c r="P165" s="52"/>
      <c r="Q165" s="55"/>
      <c r="R165" s="55"/>
    </row>
    <row r="166" spans="1:18" x14ac:dyDescent="0.35">
      <c r="A166" s="1" t="s">
        <v>124</v>
      </c>
      <c r="C166" s="17"/>
      <c r="L166" s="15"/>
      <c r="P166" s="52"/>
      <c r="Q166" s="55"/>
      <c r="R166" s="55"/>
    </row>
    <row r="167" spans="1:18" x14ac:dyDescent="0.35">
      <c r="A167" s="2"/>
      <c r="C167" s="17"/>
      <c r="L167" s="15"/>
      <c r="P167" s="52"/>
      <c r="Q167" s="55"/>
      <c r="R167" s="55"/>
    </row>
    <row r="168" spans="1:18" x14ac:dyDescent="0.35">
      <c r="A168" s="1" t="s">
        <v>125</v>
      </c>
      <c r="C168" s="5"/>
      <c r="L168" s="19" t="s">
        <v>8</v>
      </c>
      <c r="P168" s="52"/>
      <c r="Q168" s="55"/>
      <c r="R168" s="55"/>
    </row>
    <row r="169" spans="1:18" x14ac:dyDescent="0.35">
      <c r="A169" s="1" t="s">
        <v>126</v>
      </c>
      <c r="C169" s="5"/>
      <c r="L169" s="15"/>
      <c r="P169" s="52"/>
      <c r="Q169" s="55"/>
      <c r="R169" s="55"/>
    </row>
    <row r="170" spans="1:18" x14ac:dyDescent="0.35">
      <c r="C170" s="5"/>
      <c r="L170" s="15"/>
      <c r="P170" s="52"/>
      <c r="Q170" s="55"/>
      <c r="R170" s="55"/>
    </row>
    <row r="171" spans="1:18" x14ac:dyDescent="0.35">
      <c r="A171" s="1" t="s">
        <v>127</v>
      </c>
      <c r="C171" s="5"/>
      <c r="L171" s="15"/>
      <c r="P171" s="52"/>
      <c r="Q171" s="55"/>
      <c r="R171" s="55"/>
    </row>
    <row r="172" spans="1:18" x14ac:dyDescent="0.35">
      <c r="A172" s="1" t="s">
        <v>128</v>
      </c>
      <c r="C172" s="5"/>
      <c r="L172" s="19" t="s">
        <v>11</v>
      </c>
      <c r="P172" s="52"/>
      <c r="Q172" s="55"/>
      <c r="R172" s="55"/>
    </row>
    <row r="173" spans="1:18" x14ac:dyDescent="0.35">
      <c r="A173" s="1" t="s">
        <v>129</v>
      </c>
      <c r="C173" s="5"/>
      <c r="J173" s="148" t="s">
        <v>12</v>
      </c>
      <c r="K173" s="148"/>
      <c r="L173" s="148"/>
      <c r="M173" s="7"/>
      <c r="P173" s="52"/>
      <c r="Q173" s="55"/>
      <c r="R173" s="55"/>
    </row>
    <row r="174" spans="1:18" x14ac:dyDescent="0.35">
      <c r="C174" s="5"/>
      <c r="L174" s="15"/>
      <c r="P174" s="52"/>
      <c r="Q174" s="55"/>
      <c r="R174" s="55"/>
    </row>
    <row r="175" spans="1:18" x14ac:dyDescent="0.35">
      <c r="B175" s="1" t="s">
        <v>379</v>
      </c>
      <c r="C175" s="5" t="s">
        <v>380</v>
      </c>
      <c r="L175" s="19"/>
      <c r="P175" s="52"/>
      <c r="Q175" s="55"/>
      <c r="R175" s="55"/>
    </row>
    <row r="176" spans="1:18" x14ac:dyDescent="0.35">
      <c r="C176" s="33"/>
      <c r="L176" s="20"/>
      <c r="P176" s="52"/>
      <c r="Q176" s="55"/>
      <c r="R176" s="55"/>
    </row>
    <row r="177" spans="1:18" x14ac:dyDescent="0.35">
      <c r="C177" s="33"/>
      <c r="P177" s="52"/>
      <c r="Q177" s="55"/>
      <c r="R177" s="55"/>
    </row>
    <row r="178" spans="1:18" x14ac:dyDescent="0.35">
      <c r="A178" t="s">
        <v>323</v>
      </c>
      <c r="B178"/>
      <c r="C178"/>
      <c r="D178"/>
      <c r="E178"/>
      <c r="F178"/>
      <c r="G178"/>
      <c r="H178"/>
      <c r="I178"/>
      <c r="P178" s="52"/>
      <c r="Q178" s="55"/>
      <c r="R178" s="55"/>
    </row>
    <row r="179" spans="1:18" ht="16" thickBot="1" x14ac:dyDescent="0.4">
      <c r="A179"/>
      <c r="B179"/>
      <c r="C179"/>
      <c r="D179"/>
      <c r="E179"/>
      <c r="F179"/>
      <c r="G179"/>
      <c r="H179"/>
      <c r="I179"/>
      <c r="P179" s="52"/>
      <c r="Q179" s="55"/>
      <c r="R179" s="55"/>
    </row>
    <row r="180" spans="1:18" x14ac:dyDescent="0.35">
      <c r="A180" s="118" t="s">
        <v>324</v>
      </c>
      <c r="B180" s="118"/>
      <c r="C180"/>
      <c r="D180"/>
      <c r="E180"/>
      <c r="F180"/>
      <c r="G180"/>
      <c r="H180"/>
      <c r="I180"/>
      <c r="P180" s="52"/>
      <c r="Q180" s="55"/>
      <c r="R180" s="55"/>
    </row>
    <row r="181" spans="1:18" x14ac:dyDescent="0.35">
      <c r="A181" s="115" t="s">
        <v>325</v>
      </c>
      <c r="B181" s="115">
        <v>0.64759846281504219</v>
      </c>
      <c r="C181"/>
      <c r="D181"/>
      <c r="E181"/>
      <c r="F181"/>
      <c r="G181"/>
      <c r="H181"/>
      <c r="I181"/>
      <c r="P181" s="52"/>
      <c r="Q181" s="55"/>
      <c r="R181" s="55"/>
    </row>
    <row r="182" spans="1:18" x14ac:dyDescent="0.35">
      <c r="A182" s="115" t="s">
        <v>326</v>
      </c>
      <c r="B182" s="115">
        <v>0.41938376904040553</v>
      </c>
      <c r="C182"/>
      <c r="D182"/>
      <c r="E182"/>
      <c r="F182"/>
      <c r="G182"/>
      <c r="H182"/>
      <c r="I182"/>
      <c r="P182" s="52"/>
      <c r="Q182" s="55"/>
      <c r="R182" s="55"/>
    </row>
    <row r="183" spans="1:18" x14ac:dyDescent="0.35">
      <c r="A183" s="115" t="s">
        <v>327</v>
      </c>
      <c r="B183" s="115">
        <v>0.41174408179093713</v>
      </c>
      <c r="C183"/>
      <c r="D183"/>
      <c r="E183"/>
      <c r="F183"/>
      <c r="G183"/>
      <c r="H183"/>
      <c r="I183"/>
      <c r="P183" s="52"/>
      <c r="Q183" s="55"/>
      <c r="R183" s="55"/>
    </row>
    <row r="184" spans="1:18" x14ac:dyDescent="0.35">
      <c r="A184" s="115" t="s">
        <v>328</v>
      </c>
      <c r="B184" s="115">
        <v>46.848960588608008</v>
      </c>
      <c r="C184"/>
      <c r="D184"/>
      <c r="E184"/>
      <c r="F184"/>
      <c r="G184"/>
      <c r="H184"/>
      <c r="I184"/>
      <c r="P184" s="52"/>
      <c r="Q184" s="55"/>
      <c r="R184" s="55"/>
    </row>
    <row r="185" spans="1:18" ht="16" thickBot="1" x14ac:dyDescent="0.4">
      <c r="A185" s="116" t="s">
        <v>329</v>
      </c>
      <c r="B185" s="116">
        <v>155</v>
      </c>
      <c r="C185"/>
      <c r="D185"/>
      <c r="E185"/>
      <c r="F185"/>
      <c r="G185"/>
      <c r="H185"/>
      <c r="I185"/>
      <c r="P185" s="52"/>
      <c r="Q185" s="55"/>
      <c r="R185" s="55"/>
    </row>
    <row r="186" spans="1:18" x14ac:dyDescent="0.35">
      <c r="A186"/>
      <c r="B186"/>
      <c r="C186"/>
      <c r="D186"/>
      <c r="E186"/>
      <c r="F186"/>
      <c r="G186"/>
      <c r="H186"/>
      <c r="I186"/>
      <c r="P186" s="52"/>
      <c r="Q186" s="55"/>
      <c r="R186" s="55"/>
    </row>
    <row r="187" spans="1:18" ht="16" thickBot="1" x14ac:dyDescent="0.4">
      <c r="A187" t="s">
        <v>321</v>
      </c>
      <c r="B187"/>
      <c r="C187"/>
      <c r="D187"/>
      <c r="E187"/>
      <c r="F187"/>
      <c r="G187"/>
      <c r="H187"/>
      <c r="I187"/>
      <c r="P187" s="52"/>
      <c r="Q187" s="55"/>
      <c r="R187" s="55"/>
    </row>
    <row r="188" spans="1:18" x14ac:dyDescent="0.35">
      <c r="A188" s="117"/>
      <c r="B188" s="117" t="s">
        <v>333</v>
      </c>
      <c r="C188" s="117" t="s">
        <v>334</v>
      </c>
      <c r="D188" s="117" t="s">
        <v>335</v>
      </c>
      <c r="E188" s="117" t="s">
        <v>336</v>
      </c>
      <c r="F188" s="117" t="s">
        <v>337</v>
      </c>
      <c r="G188"/>
      <c r="H188"/>
      <c r="I188"/>
      <c r="P188" s="52"/>
      <c r="Q188" s="55"/>
      <c r="R188" s="55"/>
    </row>
    <row r="189" spans="1:18" x14ac:dyDescent="0.35">
      <c r="A189" s="115" t="s">
        <v>330</v>
      </c>
      <c r="B189" s="115">
        <v>2</v>
      </c>
      <c r="C189" s="115">
        <v>240971.6513825368</v>
      </c>
      <c r="D189" s="115">
        <v>120485.8256912684</v>
      </c>
      <c r="E189" s="115">
        <v>54.895410681843131</v>
      </c>
      <c r="F189" s="115">
        <v>1.1365200203492918E-18</v>
      </c>
      <c r="G189"/>
      <c r="H189"/>
      <c r="I189"/>
      <c r="P189" s="52"/>
      <c r="Q189" s="55"/>
      <c r="R189" s="55"/>
    </row>
    <row r="190" spans="1:18" x14ac:dyDescent="0.35">
      <c r="A190" s="115" t="s">
        <v>331</v>
      </c>
      <c r="B190" s="115">
        <v>152</v>
      </c>
      <c r="C190" s="115">
        <v>333613.41645140789</v>
      </c>
      <c r="D190" s="115">
        <v>2194.8251082329466</v>
      </c>
      <c r="E190" s="115"/>
      <c r="F190" s="115"/>
      <c r="G190"/>
      <c r="H190"/>
      <c r="I190"/>
      <c r="P190" s="52"/>
      <c r="Q190" s="55"/>
      <c r="R190" s="55"/>
    </row>
    <row r="191" spans="1:18" ht="16" thickBot="1" x14ac:dyDescent="0.4">
      <c r="A191" s="116" t="s">
        <v>332</v>
      </c>
      <c r="B191" s="116">
        <v>154</v>
      </c>
      <c r="C191" s="116">
        <v>574585.06783394469</v>
      </c>
      <c r="D191" s="116"/>
      <c r="E191" s="116"/>
      <c r="F191" s="116"/>
      <c r="G191"/>
      <c r="H191"/>
      <c r="I191"/>
      <c r="P191" s="52"/>
      <c r="Q191" s="55"/>
      <c r="R191" s="55"/>
    </row>
    <row r="192" spans="1:18" ht="16" thickBot="1" x14ac:dyDescent="0.4">
      <c r="A192"/>
      <c r="B192"/>
      <c r="C192"/>
      <c r="D192"/>
      <c r="E192"/>
      <c r="F192"/>
      <c r="G192"/>
      <c r="H192"/>
      <c r="I192"/>
      <c r="P192" s="52"/>
      <c r="Q192" s="55"/>
      <c r="R192" s="55"/>
    </row>
    <row r="193" spans="1:18" x14ac:dyDescent="0.35">
      <c r="A193" s="117"/>
      <c r="B193" s="117" t="s">
        <v>338</v>
      </c>
      <c r="C193" s="117" t="s">
        <v>328</v>
      </c>
      <c r="D193" s="117" t="s">
        <v>339</v>
      </c>
      <c r="E193" s="117" t="s">
        <v>340</v>
      </c>
      <c r="F193" s="117" t="s">
        <v>341</v>
      </c>
      <c r="G193" s="117" t="s">
        <v>342</v>
      </c>
      <c r="H193" s="117" t="s">
        <v>345</v>
      </c>
      <c r="I193" s="117" t="s">
        <v>346</v>
      </c>
      <c r="P193" s="52"/>
      <c r="Q193" s="55"/>
      <c r="R193" s="55"/>
    </row>
    <row r="194" spans="1:18" x14ac:dyDescent="0.35">
      <c r="A194" s="115" t="s">
        <v>299</v>
      </c>
      <c r="B194" s="115">
        <v>-1006.4351681200903</v>
      </c>
      <c r="C194" s="115">
        <v>124.88763003700969</v>
      </c>
      <c r="D194" s="115">
        <v>-8.058725814733128</v>
      </c>
      <c r="E194" s="115">
        <v>2.1070514455626665E-13</v>
      </c>
      <c r="F194" s="115">
        <v>-1253.1749004434505</v>
      </c>
      <c r="G194" s="115">
        <v>-759.69543579673007</v>
      </c>
      <c r="H194" s="115">
        <v>-1253.1749004434505</v>
      </c>
      <c r="I194" s="115">
        <v>-759.69543579673007</v>
      </c>
      <c r="P194" s="52"/>
      <c r="Q194" s="55"/>
      <c r="R194" s="55"/>
    </row>
    <row r="195" spans="1:18" x14ac:dyDescent="0.35">
      <c r="A195" s="115" t="s">
        <v>386</v>
      </c>
      <c r="B195" s="115">
        <v>3.0516658162721463E-2</v>
      </c>
      <c r="C195" s="115">
        <v>3.1006639061815014E-3</v>
      </c>
      <c r="D195" s="115">
        <v>9.8419754885020847</v>
      </c>
      <c r="E195" s="115">
        <v>5.4678264669277766E-18</v>
      </c>
      <c r="F195" s="115">
        <v>2.4390695311082688E-2</v>
      </c>
      <c r="G195" s="115">
        <v>3.6642621014360242E-2</v>
      </c>
      <c r="H195" s="115">
        <v>2.4390695311082688E-2</v>
      </c>
      <c r="I195" s="115">
        <v>3.6642621014360242E-2</v>
      </c>
      <c r="P195" s="52"/>
      <c r="Q195" s="55"/>
      <c r="R195" s="55"/>
    </row>
    <row r="196" spans="1:18" ht="16" thickBot="1" x14ac:dyDescent="0.4">
      <c r="A196" s="116" t="s">
        <v>300</v>
      </c>
      <c r="B196" s="116">
        <v>-0.74117605542186649</v>
      </c>
      <c r="C196" s="116">
        <v>0.58708721024412602</v>
      </c>
      <c r="D196" s="116">
        <v>-1.2624632975970749</v>
      </c>
      <c r="E196" s="116">
        <v>0.20871559908627235</v>
      </c>
      <c r="F196" s="116">
        <v>-1.9010806917991945</v>
      </c>
      <c r="G196" s="116">
        <v>0.4187285809554615</v>
      </c>
      <c r="H196" s="116">
        <v>-1.9010806917991945</v>
      </c>
      <c r="I196" s="116">
        <v>0.4187285809554615</v>
      </c>
      <c r="P196" s="52"/>
      <c r="Q196" s="55"/>
      <c r="R196" s="55"/>
    </row>
    <row r="197" spans="1:18" x14ac:dyDescent="0.35">
      <c r="A197"/>
      <c r="B197"/>
      <c r="C197"/>
      <c r="D197"/>
      <c r="E197"/>
      <c r="F197"/>
      <c r="G197"/>
      <c r="H197"/>
      <c r="I197"/>
    </row>
    <row r="198" spans="1:18" x14ac:dyDescent="0.35">
      <c r="A198"/>
      <c r="B198"/>
      <c r="C198"/>
      <c r="D198"/>
      <c r="E198"/>
      <c r="F198"/>
      <c r="G198"/>
      <c r="H198"/>
      <c r="I198"/>
    </row>
    <row r="199" spans="1:18" ht="16.5" x14ac:dyDescent="0.45">
      <c r="A199"/>
      <c r="B199" t="s">
        <v>384</v>
      </c>
      <c r="C199"/>
      <c r="D199"/>
      <c r="E199"/>
      <c r="F199"/>
      <c r="G199"/>
      <c r="H199"/>
      <c r="I199"/>
    </row>
    <row r="201" spans="1:18" ht="17.5" x14ac:dyDescent="0.45">
      <c r="B201" s="1" t="s">
        <v>385</v>
      </c>
    </row>
  </sheetData>
  <mergeCells count="1">
    <mergeCell ref="J173:L17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80C7B-6B21-43FB-B22B-1683D717F46C}">
  <dimension ref="A1:AU90"/>
  <sheetViews>
    <sheetView topLeftCell="A55" workbookViewId="0">
      <selection activeCell="I11" sqref="I11:I19"/>
    </sheetView>
  </sheetViews>
  <sheetFormatPr defaultRowHeight="14.5" x14ac:dyDescent="0.35"/>
  <cols>
    <col min="1" max="1" width="45.54296875" customWidth="1"/>
    <col min="2" max="2" width="15.26953125" bestFit="1" customWidth="1"/>
    <col min="3" max="3" width="14.36328125" customWidth="1"/>
    <col min="4" max="4" width="14.08984375" customWidth="1"/>
    <col min="5" max="5" width="14.1796875" customWidth="1"/>
    <col min="6" max="6" width="13.90625" customWidth="1"/>
    <col min="36" max="36" width="15.453125" customWidth="1"/>
    <col min="37" max="37" width="10.54296875" customWidth="1"/>
    <col min="39" max="39" width="19.6328125" customWidth="1"/>
    <col min="40" max="40" width="30.54296875" bestFit="1" customWidth="1"/>
    <col min="41" max="41" width="12.54296875" bestFit="1" customWidth="1"/>
    <col min="44" max="45" width="10" bestFit="1" customWidth="1"/>
    <col min="46" max="46" width="11" bestFit="1" customWidth="1"/>
    <col min="47" max="47" width="10" bestFit="1" customWidth="1"/>
  </cols>
  <sheetData>
    <row r="1" spans="1:47" x14ac:dyDescent="0.35">
      <c r="A1" s="45" t="s">
        <v>72</v>
      </c>
      <c r="AJ1" t="s">
        <v>394</v>
      </c>
      <c r="AR1" t="s">
        <v>390</v>
      </c>
      <c r="AS1" s="97">
        <v>3750</v>
      </c>
    </row>
    <row r="2" spans="1:47" x14ac:dyDescent="0.35">
      <c r="AR2" t="s">
        <v>387</v>
      </c>
      <c r="AS2" s="97">
        <v>1750</v>
      </c>
    </row>
    <row r="3" spans="1:47" x14ac:dyDescent="0.35">
      <c r="A3" s="45" t="s">
        <v>73</v>
      </c>
      <c r="AJ3" t="s">
        <v>390</v>
      </c>
      <c r="AK3" s="97">
        <v>3750</v>
      </c>
      <c r="AN3" t="s">
        <v>406</v>
      </c>
      <c r="AO3" s="97">
        <f>AK3*AK6</f>
        <v>8437500</v>
      </c>
      <c r="AR3" t="s">
        <v>389</v>
      </c>
      <c r="AS3" s="97">
        <v>2500000</v>
      </c>
    </row>
    <row r="4" spans="1:47" x14ac:dyDescent="0.35">
      <c r="AJ4" t="s">
        <v>387</v>
      </c>
      <c r="AK4" s="97">
        <v>1750</v>
      </c>
      <c r="AN4" t="s">
        <v>407</v>
      </c>
      <c r="AO4" s="97">
        <f>AK4*AK6</f>
        <v>3937500</v>
      </c>
      <c r="AR4" t="s">
        <v>388</v>
      </c>
      <c r="AS4" s="127">
        <v>2250</v>
      </c>
    </row>
    <row r="5" spans="1:47" x14ac:dyDescent="0.35">
      <c r="A5" s="45" t="s">
        <v>74</v>
      </c>
      <c r="AJ5" t="s">
        <v>389</v>
      </c>
      <c r="AK5" s="97">
        <v>2500000</v>
      </c>
      <c r="AN5" t="s">
        <v>408</v>
      </c>
      <c r="AO5" s="97">
        <f>AO3-AO4</f>
        <v>4500000</v>
      </c>
      <c r="AR5" t="s">
        <v>412</v>
      </c>
      <c r="AS5" s="127">
        <v>0</v>
      </c>
    </row>
    <row r="6" spans="1:47" x14ac:dyDescent="0.35">
      <c r="A6" t="s">
        <v>75</v>
      </c>
      <c r="AJ6" t="s">
        <v>388</v>
      </c>
      <c r="AK6" s="127">
        <v>2250</v>
      </c>
      <c r="AN6" t="s">
        <v>393</v>
      </c>
      <c r="AO6" s="97">
        <f>AK5</f>
        <v>2500000</v>
      </c>
    </row>
    <row r="7" spans="1:47" x14ac:dyDescent="0.35">
      <c r="AJ7" t="s">
        <v>412</v>
      </c>
      <c r="AK7" s="127">
        <v>0</v>
      </c>
      <c r="AN7" t="s">
        <v>422</v>
      </c>
      <c r="AO7" s="97">
        <f>AO5-AO6</f>
        <v>2000000</v>
      </c>
      <c r="AQ7" t="s">
        <v>432</v>
      </c>
      <c r="AR7" t="s">
        <v>413</v>
      </c>
      <c r="AS7" t="s">
        <v>433</v>
      </c>
      <c r="AT7" t="s">
        <v>434</v>
      </c>
    </row>
    <row r="8" spans="1:47" x14ac:dyDescent="0.35">
      <c r="A8" t="s">
        <v>76</v>
      </c>
      <c r="AQ8">
        <v>0</v>
      </c>
      <c r="AR8" s="127">
        <f t="shared" ref="AR8:AR24" si="0">$AS$3</f>
        <v>2500000</v>
      </c>
      <c r="AS8" s="127">
        <f>($AS$2*AQ8)+AR8</f>
        <v>2500000</v>
      </c>
      <c r="AT8" s="127">
        <f t="shared" ref="AT8:AT24" si="1">$AS$1*AQ8</f>
        <v>0</v>
      </c>
      <c r="AU8" s="127"/>
    </row>
    <row r="9" spans="1:47" x14ac:dyDescent="0.35">
      <c r="AJ9" s="45" t="s">
        <v>391</v>
      </c>
      <c r="AQ9">
        <v>250</v>
      </c>
      <c r="AR9" s="127">
        <f t="shared" si="0"/>
        <v>2500000</v>
      </c>
      <c r="AS9" s="127">
        <f t="shared" ref="AS9:AS24" si="2">($AS$2*AQ9)+AR9</f>
        <v>2937500</v>
      </c>
      <c r="AT9" s="127">
        <f t="shared" si="1"/>
        <v>937500</v>
      </c>
      <c r="AU9" s="127"/>
    </row>
    <row r="10" spans="1:47" x14ac:dyDescent="0.35">
      <c r="B10" s="45">
        <v>2023</v>
      </c>
      <c r="C10">
        <v>2024</v>
      </c>
      <c r="D10" s="45">
        <v>2025</v>
      </c>
      <c r="E10">
        <v>2026</v>
      </c>
      <c r="F10" s="45">
        <v>2027</v>
      </c>
      <c r="H10" s="45"/>
      <c r="I10" t="s">
        <v>16</v>
      </c>
      <c r="AJ10" t="s">
        <v>392</v>
      </c>
      <c r="AK10" t="s">
        <v>393</v>
      </c>
      <c r="AM10" t="s">
        <v>409</v>
      </c>
      <c r="AN10" s="128" t="s">
        <v>410</v>
      </c>
      <c r="AQ10">
        <v>500</v>
      </c>
      <c r="AR10" s="127">
        <f t="shared" si="0"/>
        <v>2500000</v>
      </c>
      <c r="AS10" s="127">
        <f t="shared" si="2"/>
        <v>3375000</v>
      </c>
      <c r="AT10" s="127">
        <f t="shared" si="1"/>
        <v>1875000</v>
      </c>
      <c r="AU10" s="127"/>
    </row>
    <row r="11" spans="1:47" x14ac:dyDescent="0.35">
      <c r="A11" t="s">
        <v>77</v>
      </c>
      <c r="B11">
        <v>50000</v>
      </c>
      <c r="C11">
        <f>(1+$I11)*B11</f>
        <v>55000.000000000007</v>
      </c>
      <c r="D11">
        <f t="shared" ref="D11:E11" si="3">(1+$I11)*C11</f>
        <v>60500.000000000015</v>
      </c>
      <c r="E11">
        <f t="shared" si="3"/>
        <v>66550.000000000015</v>
      </c>
      <c r="F11">
        <f>(1+$I11)*E11</f>
        <v>73205.000000000029</v>
      </c>
      <c r="I11" s="120">
        <v>0.1</v>
      </c>
      <c r="AJ11" t="s">
        <v>400</v>
      </c>
      <c r="AK11" t="s">
        <v>404</v>
      </c>
      <c r="AN11" t="s">
        <v>411</v>
      </c>
      <c r="AQ11">
        <v>750</v>
      </c>
      <c r="AR11" s="127">
        <f t="shared" si="0"/>
        <v>2500000</v>
      </c>
      <c r="AS11" s="127">
        <f t="shared" si="2"/>
        <v>3812500</v>
      </c>
      <c r="AT11" s="127">
        <f t="shared" si="1"/>
        <v>2812500</v>
      </c>
      <c r="AU11" s="127"/>
    </row>
    <row r="12" spans="1:47" x14ac:dyDescent="0.35">
      <c r="A12" t="s">
        <v>78</v>
      </c>
      <c r="B12">
        <v>500</v>
      </c>
      <c r="C12">
        <f t="shared" ref="C12:F12" si="4">(1+$I12)*B12</f>
        <v>525</v>
      </c>
      <c r="D12">
        <f t="shared" si="4"/>
        <v>551.25</v>
      </c>
      <c r="E12">
        <f t="shared" si="4"/>
        <v>578.8125</v>
      </c>
      <c r="F12">
        <f t="shared" si="4"/>
        <v>607.75312500000007</v>
      </c>
      <c r="I12" s="120">
        <v>0.05</v>
      </c>
      <c r="AJ12" t="s">
        <v>395</v>
      </c>
      <c r="AK12" t="s">
        <v>405</v>
      </c>
      <c r="AQ12">
        <v>1000</v>
      </c>
      <c r="AR12" s="127">
        <f t="shared" si="0"/>
        <v>2500000</v>
      </c>
      <c r="AS12" s="127">
        <f t="shared" si="2"/>
        <v>4250000</v>
      </c>
      <c r="AT12" s="127">
        <f t="shared" si="1"/>
        <v>3750000</v>
      </c>
      <c r="AU12" s="127"/>
    </row>
    <row r="13" spans="1:47" x14ac:dyDescent="0.35">
      <c r="A13" t="s">
        <v>79</v>
      </c>
      <c r="B13">
        <v>90</v>
      </c>
      <c r="C13">
        <f t="shared" ref="C13:F13" si="5">(1+$I13)*B13</f>
        <v>99.000000000000014</v>
      </c>
      <c r="D13">
        <f t="shared" si="5"/>
        <v>108.90000000000002</v>
      </c>
      <c r="E13">
        <f t="shared" si="5"/>
        <v>119.79000000000003</v>
      </c>
      <c r="F13">
        <f t="shared" si="5"/>
        <v>131.76900000000006</v>
      </c>
      <c r="I13" s="120">
        <v>0.1</v>
      </c>
      <c r="AJ13" t="s">
        <v>396</v>
      </c>
      <c r="AM13" t="s">
        <v>413</v>
      </c>
      <c r="AN13" s="127">
        <f>AK5</f>
        <v>2500000</v>
      </c>
      <c r="AQ13">
        <v>1250</v>
      </c>
      <c r="AR13" s="127">
        <f t="shared" si="0"/>
        <v>2500000</v>
      </c>
      <c r="AS13" s="127">
        <f t="shared" si="2"/>
        <v>4687500</v>
      </c>
      <c r="AT13" s="127">
        <f t="shared" si="1"/>
        <v>4687500</v>
      </c>
      <c r="AU13" s="127"/>
    </row>
    <row r="14" spans="1:47" x14ac:dyDescent="0.35">
      <c r="A14" t="s">
        <v>80</v>
      </c>
      <c r="B14">
        <v>200</v>
      </c>
      <c r="C14">
        <f t="shared" ref="C14:F14" si="6">(1+$I14)*B14</f>
        <v>220.00000000000003</v>
      </c>
      <c r="D14">
        <f t="shared" si="6"/>
        <v>242.00000000000006</v>
      </c>
      <c r="E14">
        <f t="shared" si="6"/>
        <v>266.2000000000001</v>
      </c>
      <c r="F14">
        <f t="shared" si="6"/>
        <v>292.82000000000016</v>
      </c>
      <c r="I14" s="120">
        <v>0.1</v>
      </c>
      <c r="AJ14" t="s">
        <v>397</v>
      </c>
      <c r="AM14" t="s">
        <v>421</v>
      </c>
      <c r="AN14" s="127">
        <f>AK3-AK4</f>
        <v>2000</v>
      </c>
      <c r="AQ14">
        <v>1500</v>
      </c>
      <c r="AR14" s="127">
        <f t="shared" si="0"/>
        <v>2500000</v>
      </c>
      <c r="AS14" s="127">
        <f t="shared" si="2"/>
        <v>5125000</v>
      </c>
      <c r="AT14" s="127">
        <f t="shared" si="1"/>
        <v>5625000</v>
      </c>
      <c r="AU14" s="127"/>
    </row>
    <row r="15" spans="1:47" x14ac:dyDescent="0.35">
      <c r="A15" t="s">
        <v>81</v>
      </c>
      <c r="B15">
        <v>40</v>
      </c>
      <c r="C15">
        <f t="shared" ref="C15:F15" si="7">(1+$I15)*B15</f>
        <v>44</v>
      </c>
      <c r="D15">
        <f t="shared" si="7"/>
        <v>48.400000000000006</v>
      </c>
      <c r="E15">
        <f t="shared" si="7"/>
        <v>53.240000000000009</v>
      </c>
      <c r="F15">
        <f t="shared" si="7"/>
        <v>58.564000000000014</v>
      </c>
      <c r="I15" s="120">
        <v>0.1</v>
      </c>
      <c r="AJ15" t="s">
        <v>398</v>
      </c>
      <c r="AQ15">
        <v>1750</v>
      </c>
      <c r="AR15" s="127">
        <f t="shared" si="0"/>
        <v>2500000</v>
      </c>
      <c r="AS15" s="127">
        <f t="shared" si="2"/>
        <v>5562500</v>
      </c>
      <c r="AT15" s="127">
        <f t="shared" si="1"/>
        <v>6562500</v>
      </c>
      <c r="AU15" s="127"/>
    </row>
    <row r="16" spans="1:47" x14ac:dyDescent="0.35">
      <c r="A16" t="s">
        <v>82</v>
      </c>
      <c r="B16">
        <v>100000</v>
      </c>
      <c r="C16">
        <f t="shared" ref="C16:F16" si="8">(1+$I16)*B16</f>
        <v>105000</v>
      </c>
      <c r="D16">
        <f t="shared" si="8"/>
        <v>110250</v>
      </c>
      <c r="E16">
        <f t="shared" si="8"/>
        <v>115762.5</v>
      </c>
      <c r="F16">
        <f t="shared" si="8"/>
        <v>121550.625</v>
      </c>
      <c r="I16" s="120">
        <v>0.05</v>
      </c>
      <c r="AJ16" t="s">
        <v>399</v>
      </c>
      <c r="AM16" t="s">
        <v>414</v>
      </c>
      <c r="AN16" s="129">
        <f>AN13/AN14</f>
        <v>1250</v>
      </c>
      <c r="AQ16">
        <v>2000</v>
      </c>
      <c r="AR16" s="127">
        <f t="shared" si="0"/>
        <v>2500000</v>
      </c>
      <c r="AS16" s="127">
        <f t="shared" si="2"/>
        <v>6000000</v>
      </c>
      <c r="AT16" s="127">
        <f t="shared" si="1"/>
        <v>7500000</v>
      </c>
      <c r="AU16" s="127"/>
    </row>
    <row r="17" spans="1:47" x14ac:dyDescent="0.35">
      <c r="A17" t="s">
        <v>83</v>
      </c>
      <c r="B17">
        <v>80000</v>
      </c>
      <c r="C17">
        <f t="shared" ref="C17:F17" si="9">(1+$I17)*B17</f>
        <v>84000</v>
      </c>
      <c r="D17">
        <f t="shared" si="9"/>
        <v>88200</v>
      </c>
      <c r="E17">
        <f>(1+$I17)*D17</f>
        <v>92610</v>
      </c>
      <c r="F17">
        <f t="shared" si="9"/>
        <v>97240.5</v>
      </c>
      <c r="I17" s="120">
        <v>0.05</v>
      </c>
      <c r="AJ17" t="s">
        <v>401</v>
      </c>
      <c r="AQ17">
        <v>2250</v>
      </c>
      <c r="AR17" s="127">
        <f t="shared" si="0"/>
        <v>2500000</v>
      </c>
      <c r="AS17" s="127">
        <f t="shared" si="2"/>
        <v>6437500</v>
      </c>
      <c r="AT17" s="127">
        <f t="shared" si="1"/>
        <v>8437500</v>
      </c>
      <c r="AU17" s="127"/>
    </row>
    <row r="18" spans="1:47" x14ac:dyDescent="0.35">
      <c r="A18" t="s">
        <v>84</v>
      </c>
      <c r="B18">
        <v>30</v>
      </c>
      <c r="C18">
        <f t="shared" ref="C18:F18" si="10">(1+$I18)*B18</f>
        <v>33</v>
      </c>
      <c r="D18">
        <f t="shared" si="10"/>
        <v>36.300000000000004</v>
      </c>
      <c r="E18">
        <f t="shared" si="10"/>
        <v>39.930000000000007</v>
      </c>
      <c r="F18">
        <f t="shared" si="10"/>
        <v>43.923000000000009</v>
      </c>
      <c r="I18" s="120">
        <v>0.1</v>
      </c>
      <c r="AJ18" t="s">
        <v>402</v>
      </c>
      <c r="AM18" t="s">
        <v>415</v>
      </c>
      <c r="AN18" t="s">
        <v>416</v>
      </c>
      <c r="AQ18">
        <v>2500</v>
      </c>
      <c r="AR18" s="127">
        <f t="shared" si="0"/>
        <v>2500000</v>
      </c>
      <c r="AS18" s="127">
        <f t="shared" si="2"/>
        <v>6875000</v>
      </c>
      <c r="AT18" s="127">
        <f t="shared" si="1"/>
        <v>9375000</v>
      </c>
      <c r="AU18" s="127"/>
    </row>
    <row r="19" spans="1:47" x14ac:dyDescent="0.35">
      <c r="A19" t="s">
        <v>85</v>
      </c>
      <c r="B19">
        <v>60000</v>
      </c>
      <c r="C19">
        <f t="shared" ref="C19:F19" si="11">(1+$I19)*B19</f>
        <v>63000</v>
      </c>
      <c r="D19">
        <f t="shared" si="11"/>
        <v>66150</v>
      </c>
      <c r="E19">
        <f t="shared" si="11"/>
        <v>69457.5</v>
      </c>
      <c r="F19">
        <f t="shared" si="11"/>
        <v>72930.375</v>
      </c>
      <c r="I19" s="120">
        <v>0.05</v>
      </c>
      <c r="AJ19" t="s">
        <v>403</v>
      </c>
      <c r="AQ19">
        <v>2750</v>
      </c>
      <c r="AR19" s="127">
        <f t="shared" si="0"/>
        <v>2500000</v>
      </c>
      <c r="AS19" s="127">
        <f t="shared" si="2"/>
        <v>7312500</v>
      </c>
      <c r="AT19" s="127">
        <f t="shared" si="1"/>
        <v>10312500</v>
      </c>
      <c r="AU19" s="127"/>
    </row>
    <row r="20" spans="1:47" x14ac:dyDescent="0.35">
      <c r="AM20" t="s">
        <v>414</v>
      </c>
      <c r="AN20" s="129">
        <f>AN16</f>
        <v>1250</v>
      </c>
      <c r="AQ20">
        <v>3000</v>
      </c>
      <c r="AR20" s="127">
        <f t="shared" si="0"/>
        <v>2500000</v>
      </c>
      <c r="AS20" s="127">
        <f t="shared" si="2"/>
        <v>7750000</v>
      </c>
      <c r="AT20" s="127">
        <f t="shared" si="1"/>
        <v>11250000</v>
      </c>
      <c r="AU20" s="127"/>
    </row>
    <row r="21" spans="1:47" x14ac:dyDescent="0.35">
      <c r="A21" s="45" t="s">
        <v>0</v>
      </c>
      <c r="AM21" t="s">
        <v>420</v>
      </c>
      <c r="AN21" s="127">
        <f>AK3</f>
        <v>3750</v>
      </c>
      <c r="AQ21">
        <v>3250</v>
      </c>
      <c r="AR21" s="127">
        <f t="shared" si="0"/>
        <v>2500000</v>
      </c>
      <c r="AS21" s="127">
        <f t="shared" si="2"/>
        <v>8187500</v>
      </c>
      <c r="AT21" s="127">
        <f t="shared" si="1"/>
        <v>12187500</v>
      </c>
      <c r="AU21" s="127"/>
    </row>
    <row r="22" spans="1:47" x14ac:dyDescent="0.35">
      <c r="A22" t="s">
        <v>86</v>
      </c>
      <c r="J22" t="s">
        <v>87</v>
      </c>
      <c r="AQ22">
        <v>3500</v>
      </c>
      <c r="AR22" s="127">
        <f t="shared" si="0"/>
        <v>2500000</v>
      </c>
      <c r="AS22" s="127">
        <f t="shared" si="2"/>
        <v>8625000</v>
      </c>
      <c r="AT22" s="127">
        <f t="shared" si="1"/>
        <v>13125000</v>
      </c>
      <c r="AU22" s="127"/>
    </row>
    <row r="23" spans="1:47" x14ac:dyDescent="0.35">
      <c r="AQ23">
        <v>3750</v>
      </c>
      <c r="AR23" s="127">
        <f t="shared" si="0"/>
        <v>2500000</v>
      </c>
      <c r="AS23" s="127">
        <f t="shared" si="2"/>
        <v>9062500</v>
      </c>
      <c r="AT23" s="127">
        <f t="shared" si="1"/>
        <v>14062500</v>
      </c>
      <c r="AU23" s="127"/>
    </row>
    <row r="24" spans="1:47" x14ac:dyDescent="0.35">
      <c r="A24" t="s">
        <v>88</v>
      </c>
      <c r="J24" t="s">
        <v>89</v>
      </c>
      <c r="AM24" t="s">
        <v>415</v>
      </c>
      <c r="AN24" s="127">
        <f>AN20*AN21</f>
        <v>4687500</v>
      </c>
      <c r="AQ24">
        <v>4000</v>
      </c>
      <c r="AR24" s="127">
        <f t="shared" si="0"/>
        <v>2500000</v>
      </c>
      <c r="AS24" s="127">
        <f t="shared" si="2"/>
        <v>9500000</v>
      </c>
      <c r="AT24" s="127">
        <f t="shared" si="1"/>
        <v>15000000</v>
      </c>
      <c r="AU24" s="127"/>
    </row>
    <row r="26" spans="1:47" x14ac:dyDescent="0.35">
      <c r="A26" t="s">
        <v>90</v>
      </c>
      <c r="J26" t="s">
        <v>89</v>
      </c>
      <c r="AM26" t="s">
        <v>415</v>
      </c>
      <c r="AN26" s="128" t="s">
        <v>410</v>
      </c>
    </row>
    <row r="27" spans="1:47" x14ac:dyDescent="0.35">
      <c r="J27" s="45" t="s">
        <v>91</v>
      </c>
      <c r="AN27" t="s">
        <v>417</v>
      </c>
    </row>
    <row r="28" spans="1:47" x14ac:dyDescent="0.35">
      <c r="AM28" t="s">
        <v>418</v>
      </c>
      <c r="AN28" s="127">
        <f>AK3-AK4</f>
        <v>2000</v>
      </c>
    </row>
    <row r="29" spans="1:47" x14ac:dyDescent="0.35">
      <c r="A29" t="s">
        <v>435</v>
      </c>
      <c r="B29" s="45">
        <v>2023</v>
      </c>
      <c r="C29">
        <v>2024</v>
      </c>
      <c r="D29" s="45">
        <v>2025</v>
      </c>
      <c r="E29">
        <v>2026</v>
      </c>
      <c r="F29" s="45">
        <v>2027</v>
      </c>
      <c r="AM29" t="s">
        <v>419</v>
      </c>
      <c r="AN29">
        <f>AN28/AK3</f>
        <v>0.53333333333333333</v>
      </c>
    </row>
    <row r="30" spans="1:47" x14ac:dyDescent="0.35">
      <c r="B30" s="97"/>
      <c r="C30" s="97"/>
      <c r="D30" s="97"/>
      <c r="E30" s="97"/>
      <c r="F30" s="97"/>
    </row>
    <row r="31" spans="1:47" x14ac:dyDescent="0.35">
      <c r="A31" t="s">
        <v>406</v>
      </c>
      <c r="B31" s="97">
        <f>B$11*B12</f>
        <v>25000000</v>
      </c>
      <c r="C31" s="97">
        <f t="shared" ref="C31:F31" si="12">C$11*C12</f>
        <v>28875000.000000004</v>
      </c>
      <c r="D31" s="97">
        <f t="shared" si="12"/>
        <v>33350625.000000007</v>
      </c>
      <c r="E31" s="97">
        <f t="shared" si="12"/>
        <v>38519971.875000007</v>
      </c>
      <c r="F31" s="97">
        <f t="shared" si="12"/>
        <v>44490567.515625022</v>
      </c>
      <c r="AM31" t="s">
        <v>413</v>
      </c>
      <c r="AN31" s="127">
        <f>AK5</f>
        <v>2500000</v>
      </c>
    </row>
    <row r="32" spans="1:47" x14ac:dyDescent="0.35">
      <c r="A32" t="s">
        <v>436</v>
      </c>
      <c r="B32" s="97">
        <f t="shared" ref="B32:F32" si="13">B$11*B13</f>
        <v>4500000</v>
      </c>
      <c r="C32" s="97">
        <f t="shared" si="13"/>
        <v>5445000.0000000019</v>
      </c>
      <c r="D32" s="97">
        <f t="shared" si="13"/>
        <v>6588450.0000000028</v>
      </c>
      <c r="E32" s="97">
        <f t="shared" si="13"/>
        <v>7972024.5000000037</v>
      </c>
      <c r="F32" s="97">
        <f t="shared" si="13"/>
        <v>9646149.6450000089</v>
      </c>
    </row>
    <row r="33" spans="1:40" x14ac:dyDescent="0.35">
      <c r="A33" t="s">
        <v>437</v>
      </c>
      <c r="B33" s="97">
        <f t="shared" ref="B33:F33" si="14">B$11*B14</f>
        <v>10000000</v>
      </c>
      <c r="C33" s="97">
        <f t="shared" si="14"/>
        <v>12100000.000000004</v>
      </c>
      <c r="D33" s="97">
        <f t="shared" si="14"/>
        <v>14641000.000000007</v>
      </c>
      <c r="E33" s="97">
        <f t="shared" si="14"/>
        <v>17715610.000000011</v>
      </c>
      <c r="F33" s="97">
        <f t="shared" si="14"/>
        <v>21435888.10000002</v>
      </c>
      <c r="AM33" t="s">
        <v>415</v>
      </c>
      <c r="AN33" s="127">
        <f>AN31/AN29</f>
        <v>4687500</v>
      </c>
    </row>
    <row r="34" spans="1:40" x14ac:dyDescent="0.35">
      <c r="A34" t="s">
        <v>438</v>
      </c>
      <c r="B34" s="97">
        <f t="shared" ref="B34:F34" si="15">B$11*B15</f>
        <v>2000000</v>
      </c>
      <c r="C34" s="97">
        <f t="shared" si="15"/>
        <v>2420000.0000000005</v>
      </c>
      <c r="D34" s="97">
        <f t="shared" si="15"/>
        <v>2928200.0000000009</v>
      </c>
      <c r="E34" s="97">
        <f t="shared" si="15"/>
        <v>3543122.0000000014</v>
      </c>
      <c r="F34" s="97">
        <f t="shared" si="15"/>
        <v>4287177.6200000029</v>
      </c>
    </row>
    <row r="35" spans="1:40" x14ac:dyDescent="0.35">
      <c r="A35" t="s">
        <v>439</v>
      </c>
      <c r="B35" s="97">
        <f>B31-B32-B33-B34</f>
        <v>8500000</v>
      </c>
      <c r="C35" s="97">
        <f t="shared" ref="C35:F35" si="16">C31-C32-C33-C34</f>
        <v>8909999.9999999963</v>
      </c>
      <c r="D35" s="97">
        <f t="shared" si="16"/>
        <v>9192974.9999999963</v>
      </c>
      <c r="E35" s="97">
        <f t="shared" si="16"/>
        <v>9289215.3749999907</v>
      </c>
      <c r="F35" s="97">
        <f t="shared" si="16"/>
        <v>9121352.1506249886</v>
      </c>
      <c r="AM35" t="s">
        <v>424</v>
      </c>
      <c r="AN35" s="109" t="s">
        <v>423</v>
      </c>
    </row>
    <row r="36" spans="1:40" x14ac:dyDescent="0.35">
      <c r="A36" t="s">
        <v>440</v>
      </c>
      <c r="B36" s="97">
        <f>B18*B11</f>
        <v>1500000</v>
      </c>
      <c r="C36" s="97">
        <f t="shared" ref="C36:F36" si="17">C18*C11</f>
        <v>1815000.0000000002</v>
      </c>
      <c r="D36" s="97">
        <f t="shared" si="17"/>
        <v>2196150.0000000009</v>
      </c>
      <c r="E36" s="97">
        <f t="shared" si="17"/>
        <v>2657341.5000000009</v>
      </c>
      <c r="F36" s="97">
        <f t="shared" si="17"/>
        <v>3215383.2150000017</v>
      </c>
    </row>
    <row r="37" spans="1:40" x14ac:dyDescent="0.35">
      <c r="A37" s="45" t="s">
        <v>441</v>
      </c>
      <c r="B37" s="130">
        <f>B35-B36</f>
        <v>7000000</v>
      </c>
      <c r="C37" s="130">
        <f t="shared" ref="C37:F37" si="18">C35-C36</f>
        <v>7094999.9999999963</v>
      </c>
      <c r="D37" s="130">
        <f t="shared" si="18"/>
        <v>6996824.9999999953</v>
      </c>
      <c r="E37" s="130">
        <f t="shared" si="18"/>
        <v>6631873.8749999898</v>
      </c>
      <c r="F37" s="130">
        <f t="shared" si="18"/>
        <v>5905968.9356249869</v>
      </c>
      <c r="AM37" t="s">
        <v>425</v>
      </c>
      <c r="AN37" s="127">
        <f>AK6-AN20</f>
        <v>1000</v>
      </c>
    </row>
    <row r="38" spans="1:40" x14ac:dyDescent="0.35">
      <c r="A38" s="45" t="s">
        <v>442</v>
      </c>
      <c r="B38" s="97"/>
      <c r="C38" s="97"/>
      <c r="D38" s="97"/>
      <c r="E38" s="97"/>
      <c r="F38" s="97"/>
      <c r="AM38" t="s">
        <v>426</v>
      </c>
      <c r="AN38" s="127">
        <f>AO3-AN33</f>
        <v>3750000</v>
      </c>
    </row>
    <row r="39" spans="1:40" x14ac:dyDescent="0.35">
      <c r="A39" t="s">
        <v>443</v>
      </c>
      <c r="B39">
        <f>(B16)*1000</f>
        <v>100000000</v>
      </c>
      <c r="C39">
        <f>(C16)*1000</f>
        <v>105000000</v>
      </c>
      <c r="D39">
        <f>(D16)*1000</f>
        <v>110250000</v>
      </c>
      <c r="E39">
        <f>(E16)*1000</f>
        <v>115762500</v>
      </c>
      <c r="F39">
        <f>(F16)*1000</f>
        <v>121550625</v>
      </c>
    </row>
    <row r="40" spans="1:40" x14ac:dyDescent="0.35">
      <c r="A40" t="s">
        <v>444</v>
      </c>
      <c r="B40" s="97">
        <f>B17*1000</f>
        <v>80000000</v>
      </c>
      <c r="C40" s="97">
        <f t="shared" ref="C40:F40" si="19">C17*1000</f>
        <v>84000000</v>
      </c>
      <c r="D40" s="97">
        <f t="shared" si="19"/>
        <v>88200000</v>
      </c>
      <c r="E40" s="97">
        <f t="shared" si="19"/>
        <v>92610000</v>
      </c>
      <c r="F40" s="97">
        <f t="shared" si="19"/>
        <v>97240500</v>
      </c>
      <c r="AM40" t="s">
        <v>427</v>
      </c>
    </row>
    <row r="41" spans="1:40" x14ac:dyDescent="0.35">
      <c r="A41" t="s">
        <v>445</v>
      </c>
      <c r="B41" s="97">
        <f>B19*1000</f>
        <v>60000000</v>
      </c>
      <c r="C41" s="97">
        <f t="shared" ref="C41:F41" si="20">C19*1000</f>
        <v>63000000</v>
      </c>
      <c r="D41" s="97">
        <f t="shared" si="20"/>
        <v>66150000</v>
      </c>
      <c r="E41" s="97">
        <f t="shared" si="20"/>
        <v>69457500</v>
      </c>
      <c r="F41" s="97">
        <f t="shared" si="20"/>
        <v>72930375</v>
      </c>
      <c r="AM41" t="s">
        <v>428</v>
      </c>
    </row>
    <row r="42" spans="1:40" x14ac:dyDescent="0.35">
      <c r="A42" s="45" t="s">
        <v>446</v>
      </c>
      <c r="B42" s="130">
        <f>SUM(B39:B41)</f>
        <v>240000000</v>
      </c>
      <c r="C42" s="130">
        <f t="shared" ref="C42:F42" si="21">SUM(C39:C41)</f>
        <v>252000000</v>
      </c>
      <c r="D42" s="130">
        <f t="shared" si="21"/>
        <v>264600000</v>
      </c>
      <c r="E42" s="130">
        <f t="shared" si="21"/>
        <v>277830000</v>
      </c>
      <c r="F42" s="130">
        <f t="shared" si="21"/>
        <v>291721500</v>
      </c>
      <c r="AM42" t="s">
        <v>429</v>
      </c>
    </row>
    <row r="43" spans="1:40" x14ac:dyDescent="0.35">
      <c r="A43" t="s">
        <v>447</v>
      </c>
      <c r="B43" s="97">
        <f>B37-B42</f>
        <v>-233000000</v>
      </c>
      <c r="C43" s="97">
        <f t="shared" ref="C43:F43" si="22">C37-C42</f>
        <v>-244905000</v>
      </c>
      <c r="D43" s="97">
        <f t="shared" si="22"/>
        <v>-257603175</v>
      </c>
      <c r="E43" s="97">
        <f t="shared" si="22"/>
        <v>-271198126.125</v>
      </c>
      <c r="F43" s="97">
        <f t="shared" si="22"/>
        <v>-285815531.06437504</v>
      </c>
      <c r="AM43" t="s">
        <v>430</v>
      </c>
    </row>
    <row r="44" spans="1:40" x14ac:dyDescent="0.35">
      <c r="B44" s="97"/>
      <c r="C44" s="97"/>
      <c r="D44" s="97"/>
      <c r="E44" s="97"/>
      <c r="F44" s="97"/>
      <c r="AM44" t="s">
        <v>431</v>
      </c>
    </row>
    <row r="45" spans="1:40" x14ac:dyDescent="0.35">
      <c r="B45" s="97"/>
      <c r="C45" s="97"/>
      <c r="D45" s="97"/>
      <c r="E45" s="97"/>
      <c r="F45" s="97"/>
    </row>
    <row r="46" spans="1:40" x14ac:dyDescent="0.35">
      <c r="B46" s="97"/>
      <c r="C46" s="97"/>
      <c r="D46" s="97"/>
      <c r="E46" s="97"/>
      <c r="F46" s="97"/>
    </row>
    <row r="47" spans="1:40" x14ac:dyDescent="0.35">
      <c r="A47" t="s">
        <v>408</v>
      </c>
      <c r="B47" s="97">
        <f>B37</f>
        <v>7000000</v>
      </c>
      <c r="C47" s="97">
        <f t="shared" ref="C47:F47" si="23">C37</f>
        <v>7094999.9999999963</v>
      </c>
      <c r="D47" s="97">
        <f t="shared" si="23"/>
        <v>6996824.9999999953</v>
      </c>
      <c r="E47" s="97">
        <f t="shared" si="23"/>
        <v>6631873.8749999898</v>
      </c>
      <c r="F47" s="97">
        <f t="shared" si="23"/>
        <v>5905968.9356249869</v>
      </c>
    </row>
    <row r="48" spans="1:40" x14ac:dyDescent="0.35">
      <c r="A48" t="s">
        <v>449</v>
      </c>
      <c r="B48" s="97">
        <f>B11</f>
        <v>50000</v>
      </c>
      <c r="C48" s="97">
        <f t="shared" ref="C48:F48" si="24">C11</f>
        <v>55000.000000000007</v>
      </c>
      <c r="D48" s="97">
        <f t="shared" si="24"/>
        <v>60500.000000000015</v>
      </c>
      <c r="E48" s="97">
        <f t="shared" si="24"/>
        <v>66550.000000000015</v>
      </c>
      <c r="F48" s="97">
        <f t="shared" si="24"/>
        <v>73205.000000000029</v>
      </c>
    </row>
    <row r="49" spans="1:6" x14ac:dyDescent="0.35">
      <c r="A49" t="s">
        <v>448</v>
      </c>
      <c r="B49" s="97">
        <f>B47/B48</f>
        <v>140</v>
      </c>
      <c r="C49" s="97">
        <f t="shared" ref="C49:F49" si="25">C47/C48</f>
        <v>128.99999999999991</v>
      </c>
      <c r="D49" s="97">
        <f t="shared" si="25"/>
        <v>115.64999999999989</v>
      </c>
      <c r="E49" s="97">
        <f t="shared" si="25"/>
        <v>99.652499999999819</v>
      </c>
      <c r="F49" s="97">
        <f t="shared" si="25"/>
        <v>80.677124999999791</v>
      </c>
    </row>
    <row r="50" spans="1:6" x14ac:dyDescent="0.35">
      <c r="A50" t="s">
        <v>452</v>
      </c>
      <c r="B50" s="97">
        <f>B12-B13-B14-B15-B18</f>
        <v>140</v>
      </c>
      <c r="C50" s="97">
        <f t="shared" ref="C50:F50" si="26">C12-C13-C14-C15-C18</f>
        <v>128.99999999999997</v>
      </c>
      <c r="D50" s="97">
        <f t="shared" si="26"/>
        <v>115.64999999999989</v>
      </c>
      <c r="E50" s="97">
        <f t="shared" si="26"/>
        <v>99.652499999999861</v>
      </c>
      <c r="F50" s="97">
        <f t="shared" si="26"/>
        <v>80.677124999999819</v>
      </c>
    </row>
    <row r="51" spans="1:6" x14ac:dyDescent="0.35">
      <c r="B51" s="97"/>
      <c r="C51" s="97"/>
      <c r="D51" s="97"/>
      <c r="E51" s="97"/>
      <c r="F51" s="97"/>
    </row>
    <row r="52" spans="1:6" x14ac:dyDescent="0.35">
      <c r="A52" t="s">
        <v>450</v>
      </c>
      <c r="B52" s="131">
        <f>B50/B12</f>
        <v>0.28000000000000003</v>
      </c>
      <c r="C52" s="131">
        <f t="shared" ref="C52:F52" si="27">C50/C12</f>
        <v>0.24571428571428566</v>
      </c>
      <c r="D52" s="131">
        <f t="shared" si="27"/>
        <v>0.20979591836734673</v>
      </c>
      <c r="E52" s="131">
        <f t="shared" si="27"/>
        <v>0.17216715257531559</v>
      </c>
      <c r="F52" s="131">
        <f t="shared" si="27"/>
        <v>0.13274654079318771</v>
      </c>
    </row>
    <row r="53" spans="1:6" x14ac:dyDescent="0.35">
      <c r="A53" t="s">
        <v>451</v>
      </c>
      <c r="B53">
        <f>B37/B31</f>
        <v>0.28000000000000003</v>
      </c>
      <c r="C53">
        <f t="shared" ref="C53:F53" si="28">C37/C31</f>
        <v>0.24571428571428555</v>
      </c>
      <c r="D53">
        <f t="shared" si="28"/>
        <v>0.20979591836734676</v>
      </c>
      <c r="E53">
        <f t="shared" si="28"/>
        <v>0.17216715257531554</v>
      </c>
      <c r="F53">
        <f t="shared" si="28"/>
        <v>0.13274654079318765</v>
      </c>
    </row>
    <row r="54" spans="1:6" x14ac:dyDescent="0.35">
      <c r="B54" s="97"/>
      <c r="C54" s="97"/>
      <c r="D54" s="97"/>
      <c r="E54" s="97"/>
      <c r="F54" s="97"/>
    </row>
    <row r="55" spans="1:6" x14ac:dyDescent="0.35">
      <c r="A55" t="s">
        <v>150</v>
      </c>
      <c r="B55" s="97">
        <f>B42</f>
        <v>240000000</v>
      </c>
      <c r="C55" s="97">
        <f>C42</f>
        <v>252000000</v>
      </c>
      <c r="D55" s="97">
        <f>D42</f>
        <v>264600000</v>
      </c>
      <c r="E55" s="97">
        <f>E42</f>
        <v>277830000</v>
      </c>
      <c r="F55" s="97">
        <f>F42</f>
        <v>291721500</v>
      </c>
    </row>
    <row r="56" spans="1:6" x14ac:dyDescent="0.35">
      <c r="B56" s="97"/>
      <c r="C56" s="97"/>
      <c r="D56" s="97"/>
      <c r="E56" s="97"/>
      <c r="F56" s="97"/>
    </row>
    <row r="57" spans="1:6" x14ac:dyDescent="0.35">
      <c r="B57" s="97"/>
      <c r="C57" s="97"/>
      <c r="D57" s="97"/>
      <c r="E57" s="97"/>
      <c r="F57" s="97"/>
    </row>
    <row r="58" spans="1:6" x14ac:dyDescent="0.35">
      <c r="A58" t="s">
        <v>453</v>
      </c>
      <c r="B58" s="132">
        <f>B55/B50</f>
        <v>1714285.7142857143</v>
      </c>
      <c r="C58" s="132">
        <f t="shared" ref="C58:F58" si="29">C55/C50</f>
        <v>1953488.3720930237</v>
      </c>
      <c r="D58" s="132">
        <f t="shared" si="29"/>
        <v>2287937.7431906634</v>
      </c>
      <c r="E58" s="132">
        <f t="shared" si="29"/>
        <v>2787988.2592007262</v>
      </c>
      <c r="F58" s="132">
        <f t="shared" si="29"/>
        <v>3615913.4327109531</v>
      </c>
    </row>
    <row r="59" spans="1:6" x14ac:dyDescent="0.35">
      <c r="B59" s="97"/>
      <c r="C59" s="97"/>
      <c r="D59" s="97"/>
      <c r="E59" s="97"/>
      <c r="F59" s="97"/>
    </row>
    <row r="60" spans="1:6" x14ac:dyDescent="0.35">
      <c r="A60" t="s">
        <v>454</v>
      </c>
      <c r="B60" s="97">
        <f>B55/B53</f>
        <v>857142857.14285707</v>
      </c>
      <c r="C60" s="97">
        <f t="shared" ref="C60:F60" si="30">C55/C53</f>
        <v>1025581395.3488379</v>
      </c>
      <c r="D60" s="97">
        <f t="shared" si="30"/>
        <v>1261225680.9338531</v>
      </c>
      <c r="E60" s="97">
        <f t="shared" si="30"/>
        <v>1613722454.278621</v>
      </c>
      <c r="F60" s="97">
        <f t="shared" si="30"/>
        <v>2197582688.4595604</v>
      </c>
    </row>
    <row r="61" spans="1:6" x14ac:dyDescent="0.35">
      <c r="B61" s="97"/>
      <c r="C61" s="97"/>
      <c r="D61" s="97"/>
      <c r="E61" s="97"/>
      <c r="F61" s="97"/>
    </row>
    <row r="62" spans="1:6" x14ac:dyDescent="0.35">
      <c r="B62" s="97"/>
      <c r="C62" s="97"/>
      <c r="D62" s="97"/>
      <c r="E62" s="97"/>
      <c r="F62" s="97"/>
    </row>
    <row r="63" spans="1:6" x14ac:dyDescent="0.35">
      <c r="B63" s="97"/>
      <c r="C63" s="97"/>
      <c r="D63" s="97"/>
      <c r="E63" s="97"/>
      <c r="F63" s="97"/>
    </row>
    <row r="64" spans="1:6" x14ac:dyDescent="0.35">
      <c r="A64" t="s">
        <v>455</v>
      </c>
      <c r="B64" s="45">
        <v>2023</v>
      </c>
      <c r="C64">
        <v>2024</v>
      </c>
      <c r="D64" s="45">
        <v>2025</v>
      </c>
      <c r="E64">
        <v>2026</v>
      </c>
      <c r="F64" s="45">
        <v>2027</v>
      </c>
    </row>
    <row r="65" spans="1:6" x14ac:dyDescent="0.35">
      <c r="A65" t="str">
        <f>A31</f>
        <v>Revenue</v>
      </c>
      <c r="B65" s="97">
        <f t="shared" ref="B65:F65" si="31">B31</f>
        <v>25000000</v>
      </c>
      <c r="C65" s="97">
        <f t="shared" si="31"/>
        <v>28875000.000000004</v>
      </c>
      <c r="D65" s="97">
        <f t="shared" si="31"/>
        <v>33350625.000000007</v>
      </c>
      <c r="E65" s="97">
        <f t="shared" si="31"/>
        <v>38519971.875000007</v>
      </c>
      <c r="F65" s="97">
        <f t="shared" si="31"/>
        <v>44490567.515625022</v>
      </c>
    </row>
    <row r="66" spans="1:6" x14ac:dyDescent="0.35">
      <c r="A66" t="str">
        <f>A35</f>
        <v>Gross Contribution</v>
      </c>
      <c r="B66" s="97">
        <f t="shared" ref="B66:F66" si="32">B35</f>
        <v>8500000</v>
      </c>
      <c r="C66" s="97">
        <f t="shared" si="32"/>
        <v>8909999.9999999963</v>
      </c>
      <c r="D66" s="97">
        <f t="shared" si="32"/>
        <v>9192974.9999999963</v>
      </c>
      <c r="E66" s="97">
        <f t="shared" si="32"/>
        <v>9289215.3749999907</v>
      </c>
      <c r="F66" s="97">
        <f t="shared" si="32"/>
        <v>9121352.1506249886</v>
      </c>
    </row>
    <row r="67" spans="1:6" x14ac:dyDescent="0.35">
      <c r="A67" t="str">
        <f>A37</f>
        <v>Net Contribution</v>
      </c>
      <c r="B67" s="97">
        <f t="shared" ref="B67:F67" si="33">B37</f>
        <v>7000000</v>
      </c>
      <c r="C67" s="97">
        <f t="shared" si="33"/>
        <v>7094999.9999999963</v>
      </c>
      <c r="D67" s="97">
        <f t="shared" si="33"/>
        <v>6996824.9999999953</v>
      </c>
      <c r="E67" s="97">
        <f t="shared" si="33"/>
        <v>6631873.8749999898</v>
      </c>
      <c r="F67" s="97">
        <f t="shared" si="33"/>
        <v>5905968.9356249869</v>
      </c>
    </row>
    <row r="68" spans="1:6" x14ac:dyDescent="0.35">
      <c r="A68" t="str">
        <f>A43</f>
        <v>Net profit/Loss</v>
      </c>
      <c r="B68" s="97">
        <f t="shared" ref="B68:F68" si="34">B43</f>
        <v>-233000000</v>
      </c>
      <c r="C68" s="97">
        <f t="shared" si="34"/>
        <v>-244905000</v>
      </c>
      <c r="D68" s="97">
        <f t="shared" si="34"/>
        <v>-257603175</v>
      </c>
      <c r="E68" s="97">
        <f t="shared" si="34"/>
        <v>-271198126.125</v>
      </c>
      <c r="F68" s="97">
        <f t="shared" si="34"/>
        <v>-285815531.06437504</v>
      </c>
    </row>
    <row r="69" spans="1:6" x14ac:dyDescent="0.35">
      <c r="A69" t="str">
        <f>A60</f>
        <v>BEP shillings  TFC/CMR OR TFC/  CM/R</v>
      </c>
      <c r="B69" s="97">
        <f t="shared" ref="B69:F69" si="35">B60</f>
        <v>857142857.14285707</v>
      </c>
      <c r="C69" s="97">
        <f t="shared" si="35"/>
        <v>1025581395.3488379</v>
      </c>
      <c r="D69" s="97">
        <f t="shared" si="35"/>
        <v>1261225680.9338531</v>
      </c>
      <c r="E69" s="97">
        <f t="shared" si="35"/>
        <v>1613722454.278621</v>
      </c>
      <c r="F69" s="97">
        <f t="shared" si="35"/>
        <v>2197582688.4595604</v>
      </c>
    </row>
    <row r="70" spans="1:6" x14ac:dyDescent="0.35">
      <c r="B70" s="97"/>
      <c r="C70" s="97"/>
      <c r="D70" s="97"/>
      <c r="E70" s="97"/>
      <c r="F70" s="97"/>
    </row>
    <row r="71" spans="1:6" x14ac:dyDescent="0.35">
      <c r="B71" s="97"/>
      <c r="C71" s="97"/>
      <c r="D71" s="97"/>
      <c r="E71" s="97"/>
      <c r="F71" s="97"/>
    </row>
    <row r="72" spans="1:6" x14ac:dyDescent="0.35">
      <c r="B72" s="97"/>
      <c r="C72" s="97"/>
      <c r="D72" s="97"/>
      <c r="E72" s="97"/>
      <c r="F72" s="97"/>
    </row>
    <row r="73" spans="1:6" x14ac:dyDescent="0.35">
      <c r="B73" s="97"/>
      <c r="C73" s="97"/>
      <c r="D73" s="97"/>
      <c r="E73" s="97"/>
      <c r="F73" s="97"/>
    </row>
    <row r="74" spans="1:6" x14ac:dyDescent="0.35">
      <c r="B74" s="97"/>
      <c r="C74" s="97"/>
      <c r="D74" s="97"/>
      <c r="E74" s="97"/>
      <c r="F74" s="97"/>
    </row>
    <row r="75" spans="1:6" x14ac:dyDescent="0.35">
      <c r="B75" s="97"/>
      <c r="C75" s="97"/>
      <c r="D75" s="97"/>
      <c r="E75" s="97"/>
      <c r="F75" s="97"/>
    </row>
    <row r="76" spans="1:6" x14ac:dyDescent="0.35">
      <c r="B76" s="97"/>
      <c r="C76" s="97"/>
      <c r="D76" s="97"/>
      <c r="E76" s="97"/>
      <c r="F76" s="97"/>
    </row>
    <row r="77" spans="1:6" x14ac:dyDescent="0.35">
      <c r="B77" s="97"/>
      <c r="C77" s="97"/>
      <c r="D77" s="97"/>
      <c r="E77" s="97"/>
      <c r="F77" s="97"/>
    </row>
    <row r="78" spans="1:6" x14ac:dyDescent="0.35">
      <c r="B78" s="97"/>
      <c r="C78" s="97"/>
      <c r="D78" s="97"/>
      <c r="E78" s="97"/>
      <c r="F78" s="97"/>
    </row>
    <row r="79" spans="1:6" x14ac:dyDescent="0.35">
      <c r="B79" s="97"/>
      <c r="C79" s="97"/>
      <c r="D79" s="97"/>
      <c r="E79" s="97"/>
      <c r="F79" s="97"/>
    </row>
    <row r="80" spans="1:6" x14ac:dyDescent="0.35">
      <c r="B80" s="97"/>
      <c r="C80" s="97"/>
      <c r="D80" s="97"/>
      <c r="E80" s="97"/>
      <c r="F80" s="97"/>
    </row>
    <row r="81" spans="2:6" x14ac:dyDescent="0.35">
      <c r="B81" s="97"/>
      <c r="C81" s="97"/>
      <c r="D81" s="97"/>
      <c r="E81" s="97"/>
      <c r="F81" s="97"/>
    </row>
    <row r="82" spans="2:6" x14ac:dyDescent="0.35">
      <c r="B82" s="97"/>
      <c r="C82" s="97"/>
      <c r="D82" s="97"/>
      <c r="E82" s="97"/>
      <c r="F82" s="97"/>
    </row>
    <row r="83" spans="2:6" x14ac:dyDescent="0.35">
      <c r="B83" s="97"/>
      <c r="C83" s="97"/>
      <c r="D83" s="97"/>
      <c r="E83" s="97"/>
      <c r="F83" s="97"/>
    </row>
    <row r="84" spans="2:6" x14ac:dyDescent="0.35">
      <c r="B84" s="97"/>
      <c r="C84" s="97"/>
      <c r="D84" s="97"/>
      <c r="E84" s="97"/>
      <c r="F84" s="97"/>
    </row>
    <row r="85" spans="2:6" x14ac:dyDescent="0.35">
      <c r="B85" s="97"/>
      <c r="C85" s="97"/>
      <c r="D85" s="97"/>
      <c r="E85" s="97"/>
      <c r="F85" s="97"/>
    </row>
    <row r="86" spans="2:6" x14ac:dyDescent="0.35">
      <c r="B86" s="97"/>
      <c r="C86" s="97"/>
      <c r="D86" s="97"/>
      <c r="E86" s="97"/>
      <c r="F86" s="97"/>
    </row>
    <row r="87" spans="2:6" x14ac:dyDescent="0.35">
      <c r="B87" s="97"/>
      <c r="C87" s="97"/>
      <c r="D87" s="97"/>
      <c r="E87" s="97"/>
      <c r="F87" s="97"/>
    </row>
    <row r="88" spans="2:6" x14ac:dyDescent="0.35">
      <c r="B88" s="97"/>
      <c r="C88" s="97"/>
      <c r="D88" s="97"/>
      <c r="E88" s="97"/>
      <c r="F88" s="97"/>
    </row>
    <row r="89" spans="2:6" x14ac:dyDescent="0.35">
      <c r="B89" s="97"/>
      <c r="C89" s="97"/>
      <c r="D89" s="97"/>
      <c r="E89" s="97"/>
      <c r="F89" s="97"/>
    </row>
    <row r="90" spans="2:6" x14ac:dyDescent="0.35">
      <c r="B90" s="97"/>
      <c r="C90" s="97"/>
      <c r="D90" s="97"/>
      <c r="E90" s="97"/>
      <c r="F90" s="97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A107-5360-4421-A09B-5B50A1B9104C}">
  <dimension ref="A1:P45"/>
  <sheetViews>
    <sheetView topLeftCell="A18" workbookViewId="0">
      <selection activeCell="G40" sqref="A25:G40"/>
    </sheetView>
  </sheetViews>
  <sheetFormatPr defaultRowHeight="14.5" x14ac:dyDescent="0.35"/>
  <cols>
    <col min="2" max="2" width="15.54296875" customWidth="1"/>
    <col min="3" max="3" width="26.1796875" customWidth="1"/>
    <col min="4" max="4" width="22" customWidth="1"/>
    <col min="5" max="5" width="21.81640625" customWidth="1"/>
    <col min="7" max="7" width="13.7265625" customWidth="1"/>
  </cols>
  <sheetData>
    <row r="1" spans="1:16" ht="20" x14ac:dyDescent="0.4">
      <c r="E1" s="57" t="s">
        <v>72</v>
      </c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20" x14ac:dyDescent="0.4"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20.5" x14ac:dyDescent="0.45">
      <c r="A3" s="3" t="s">
        <v>130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5" spans="1:16" ht="17.5" x14ac:dyDescent="0.35">
      <c r="A5" s="58" t="s">
        <v>74</v>
      </c>
    </row>
    <row r="6" spans="1:16" ht="18.5" x14ac:dyDescent="0.45">
      <c r="A6" s="59" t="s">
        <v>131</v>
      </c>
      <c r="B6" s="60"/>
      <c r="C6" s="60"/>
      <c r="D6" s="60"/>
      <c r="E6" s="60"/>
    </row>
    <row r="7" spans="1:16" ht="18.5" x14ac:dyDescent="0.45">
      <c r="A7" s="60"/>
      <c r="B7" s="60"/>
      <c r="C7" s="60"/>
      <c r="D7" s="60"/>
      <c r="E7" s="60"/>
    </row>
    <row r="8" spans="1:16" ht="18.5" x14ac:dyDescent="0.45">
      <c r="A8" s="59" t="s">
        <v>132</v>
      </c>
      <c r="B8" s="60"/>
      <c r="C8" s="60"/>
      <c r="D8" s="60"/>
      <c r="E8" s="60"/>
    </row>
    <row r="9" spans="1:16" ht="18.5" x14ac:dyDescent="0.45">
      <c r="A9" s="59"/>
      <c r="B9" s="60"/>
      <c r="C9" s="60"/>
      <c r="D9" s="60"/>
      <c r="E9" s="60"/>
    </row>
    <row r="10" spans="1:16" ht="18.5" x14ac:dyDescent="0.45">
      <c r="A10" s="59"/>
      <c r="B10" s="74" t="s">
        <v>145</v>
      </c>
      <c r="C10" s="75" t="s">
        <v>133</v>
      </c>
      <c r="D10" s="76" t="s">
        <v>144</v>
      </c>
      <c r="E10" s="60"/>
    </row>
    <row r="11" spans="1:16" ht="18.5" x14ac:dyDescent="0.45">
      <c r="A11" s="59"/>
      <c r="B11" s="61">
        <v>44562</v>
      </c>
      <c r="C11" s="62">
        <v>300000</v>
      </c>
      <c r="D11" s="63">
        <v>36000</v>
      </c>
      <c r="E11" s="60"/>
    </row>
    <row r="12" spans="1:16" ht="18.5" x14ac:dyDescent="0.45">
      <c r="A12" s="59"/>
      <c r="B12" s="61">
        <v>44593</v>
      </c>
      <c r="C12" s="62">
        <v>240000</v>
      </c>
      <c r="D12" s="63">
        <v>28000</v>
      </c>
      <c r="E12" s="60"/>
    </row>
    <row r="13" spans="1:16" ht="18.5" x14ac:dyDescent="0.45">
      <c r="A13" s="59"/>
      <c r="B13" s="61">
        <v>44621</v>
      </c>
      <c r="C13" s="62">
        <v>400000</v>
      </c>
      <c r="D13" s="63">
        <v>46000</v>
      </c>
      <c r="E13" s="60"/>
    </row>
    <row r="14" spans="1:16" ht="18.5" x14ac:dyDescent="0.45">
      <c r="A14" s="59"/>
      <c r="B14" s="61">
        <v>44652</v>
      </c>
      <c r="C14" s="62">
        <v>340000</v>
      </c>
      <c r="D14" s="63">
        <v>38000</v>
      </c>
      <c r="E14" s="60"/>
    </row>
    <row r="15" spans="1:16" ht="18.5" x14ac:dyDescent="0.45">
      <c r="A15" s="59"/>
      <c r="B15" s="61">
        <v>44682</v>
      </c>
      <c r="C15" s="62">
        <v>240000</v>
      </c>
      <c r="D15" s="63">
        <v>32000</v>
      </c>
      <c r="E15" s="60"/>
    </row>
    <row r="16" spans="1:16" ht="18.5" x14ac:dyDescent="0.45">
      <c r="A16" s="59"/>
      <c r="B16" s="61">
        <v>44713</v>
      </c>
      <c r="C16" s="62">
        <v>500000</v>
      </c>
      <c r="D16" s="63">
        <v>60000</v>
      </c>
      <c r="E16" s="60"/>
    </row>
    <row r="17" spans="1:9" ht="18.5" x14ac:dyDescent="0.45">
      <c r="A17" s="59"/>
      <c r="B17" s="61">
        <v>44743</v>
      </c>
      <c r="C17" s="62">
        <v>440000</v>
      </c>
      <c r="D17" s="63">
        <v>54000</v>
      </c>
      <c r="E17" s="60"/>
    </row>
    <row r="18" spans="1:9" ht="18.5" x14ac:dyDescent="0.45">
      <c r="A18" s="60"/>
      <c r="B18" s="61">
        <v>44774</v>
      </c>
      <c r="C18" s="62">
        <v>180000</v>
      </c>
      <c r="D18" s="63">
        <v>22000</v>
      </c>
      <c r="E18" s="60"/>
    </row>
    <row r="19" spans="1:9" ht="18.5" x14ac:dyDescent="0.45">
      <c r="A19" s="60"/>
      <c r="B19" s="61">
        <v>44805</v>
      </c>
      <c r="C19" s="62">
        <v>360000</v>
      </c>
      <c r="D19" s="63">
        <v>48000</v>
      </c>
      <c r="E19" s="60"/>
    </row>
    <row r="20" spans="1:9" ht="18.5" x14ac:dyDescent="0.45">
      <c r="A20" s="60"/>
      <c r="B20" s="61">
        <v>44835</v>
      </c>
      <c r="C20" s="62">
        <v>600000</v>
      </c>
      <c r="D20" s="63">
        <v>64000</v>
      </c>
      <c r="E20" s="60"/>
    </row>
    <row r="21" spans="1:9" ht="18.5" x14ac:dyDescent="0.45">
      <c r="A21" s="60"/>
      <c r="B21" s="61">
        <v>44866</v>
      </c>
      <c r="C21" s="62">
        <v>560000</v>
      </c>
      <c r="D21" s="63">
        <v>58000</v>
      </c>
      <c r="E21" s="60"/>
    </row>
    <row r="22" spans="1:9" ht="19" thickBot="1" x14ac:dyDescent="0.5">
      <c r="A22" s="60"/>
      <c r="B22" s="64">
        <v>44896</v>
      </c>
      <c r="C22" s="65">
        <v>700000</v>
      </c>
      <c r="D22" s="66">
        <v>72000</v>
      </c>
      <c r="E22" s="60"/>
    </row>
    <row r="23" spans="1:9" ht="18.5" x14ac:dyDescent="0.45">
      <c r="A23" s="60"/>
      <c r="B23" s="60"/>
      <c r="C23" s="60"/>
      <c r="D23" s="60"/>
      <c r="E23" s="60"/>
    </row>
    <row r="24" spans="1:9" ht="18.5" x14ac:dyDescent="0.45">
      <c r="A24" s="67" t="s">
        <v>0</v>
      </c>
      <c r="B24" s="59"/>
      <c r="C24" s="59"/>
      <c r="D24" s="60"/>
      <c r="E24" s="60"/>
    </row>
    <row r="25" spans="1:9" ht="18.5" x14ac:dyDescent="0.45">
      <c r="A25" s="59" t="s">
        <v>134</v>
      </c>
      <c r="B25" s="59"/>
      <c r="C25" s="59"/>
      <c r="D25" s="60"/>
      <c r="E25" s="60"/>
    </row>
    <row r="26" spans="1:9" ht="18.5" x14ac:dyDescent="0.45">
      <c r="A26" s="59"/>
      <c r="B26" s="59"/>
      <c r="C26" s="59"/>
      <c r="D26" s="60"/>
      <c r="E26" s="60"/>
    </row>
    <row r="27" spans="1:9" ht="18.5" x14ac:dyDescent="0.45">
      <c r="A27" s="59" t="s">
        <v>135</v>
      </c>
      <c r="B27" s="59"/>
      <c r="C27" s="59"/>
      <c r="D27" s="60"/>
      <c r="E27" s="60"/>
      <c r="I27" s="68" t="s">
        <v>8</v>
      </c>
    </row>
    <row r="28" spans="1:9" ht="18.5" x14ac:dyDescent="0.45">
      <c r="A28" s="59"/>
      <c r="B28" s="59"/>
      <c r="C28" s="59"/>
      <c r="D28" s="60"/>
      <c r="E28" s="60"/>
      <c r="H28" s="68"/>
    </row>
    <row r="29" spans="1:9" ht="18.5" x14ac:dyDescent="0.45">
      <c r="A29" s="59" t="s">
        <v>136</v>
      </c>
      <c r="B29" s="59"/>
      <c r="C29" s="59"/>
      <c r="D29" s="60"/>
      <c r="E29" s="60"/>
      <c r="I29" s="68" t="s">
        <v>9</v>
      </c>
    </row>
    <row r="30" spans="1:9" ht="18.5" x14ac:dyDescent="0.45">
      <c r="A30" s="59"/>
      <c r="B30" s="59"/>
      <c r="C30" s="59"/>
      <c r="D30" s="60"/>
      <c r="E30" s="60"/>
      <c r="G30" s="68"/>
    </row>
    <row r="31" spans="1:9" ht="18.5" x14ac:dyDescent="0.45">
      <c r="A31" s="59" t="s">
        <v>137</v>
      </c>
      <c r="B31" s="59"/>
      <c r="C31" s="59"/>
      <c r="D31" s="60"/>
      <c r="E31" s="60"/>
    </row>
    <row r="32" spans="1:9" ht="18.5" x14ac:dyDescent="0.45">
      <c r="A32" s="59" t="s">
        <v>138</v>
      </c>
      <c r="B32" s="59"/>
      <c r="C32" s="59"/>
      <c r="D32" s="60"/>
      <c r="E32" s="60"/>
      <c r="I32" s="68" t="s">
        <v>9</v>
      </c>
    </row>
    <row r="33" spans="1:9" ht="18.5" x14ac:dyDescent="0.45">
      <c r="A33" s="59" t="s">
        <v>139</v>
      </c>
      <c r="B33" s="59"/>
      <c r="C33" s="69"/>
      <c r="D33" s="60"/>
      <c r="E33" s="60"/>
    </row>
    <row r="34" spans="1:9" ht="18.5" x14ac:dyDescent="0.45">
      <c r="A34" s="59" t="s">
        <v>140</v>
      </c>
      <c r="B34" s="59"/>
      <c r="C34" s="59"/>
      <c r="D34" s="60"/>
      <c r="E34" s="60"/>
    </row>
    <row r="35" spans="1:9" ht="18.5" x14ac:dyDescent="0.45">
      <c r="B35" s="59"/>
      <c r="C35" s="59"/>
      <c r="D35" s="60"/>
      <c r="E35" s="60"/>
      <c r="I35" s="70" t="s">
        <v>141</v>
      </c>
    </row>
    <row r="36" spans="1:9" ht="18.5" x14ac:dyDescent="0.45">
      <c r="A36" s="59" t="s">
        <v>142</v>
      </c>
      <c r="B36" s="59"/>
      <c r="C36" s="59"/>
      <c r="D36" s="60"/>
      <c r="E36" s="60"/>
      <c r="I36" s="68" t="s">
        <v>10</v>
      </c>
    </row>
    <row r="37" spans="1:9" ht="18.5" x14ac:dyDescent="0.45">
      <c r="A37" s="60"/>
      <c r="B37" s="60"/>
      <c r="C37" s="60"/>
      <c r="D37" s="60"/>
    </row>
    <row r="38" spans="1:9" ht="18.5" x14ac:dyDescent="0.45">
      <c r="A38" s="60"/>
      <c r="B38" s="60"/>
      <c r="C38" s="60"/>
      <c r="F38" s="71"/>
      <c r="G38" s="71"/>
      <c r="I38" s="71" t="s">
        <v>12</v>
      </c>
    </row>
    <row r="43" spans="1:9" ht="17.5" x14ac:dyDescent="0.35">
      <c r="H43" s="72" t="s">
        <v>143</v>
      </c>
    </row>
    <row r="44" spans="1:9" ht="17.5" x14ac:dyDescent="0.35">
      <c r="G44" s="73"/>
      <c r="H44" s="72" t="s">
        <v>14</v>
      </c>
    </row>
    <row r="45" spans="1:9" ht="17.5" x14ac:dyDescent="0.35">
      <c r="G45" s="7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F82A-81D7-4626-AEB9-BC6E353A09BE}">
  <dimension ref="A1:X73"/>
  <sheetViews>
    <sheetView topLeftCell="C23" workbookViewId="0">
      <selection activeCell="D26" sqref="D26:D36"/>
    </sheetView>
  </sheetViews>
  <sheetFormatPr defaultColWidth="9.1796875" defaultRowHeight="14" x14ac:dyDescent="0.3"/>
  <cols>
    <col min="1" max="1" width="16.26953125" style="34" customWidth="1"/>
    <col min="2" max="2" width="17" style="34" customWidth="1"/>
    <col min="3" max="3" width="21.453125" style="34" bestFit="1" customWidth="1"/>
    <col min="4" max="4" width="24.453125" style="34" customWidth="1"/>
    <col min="5" max="5" width="24.90625" style="34" customWidth="1"/>
    <col min="6" max="6" width="12.7265625" style="34" customWidth="1"/>
    <col min="7" max="7" width="17.1796875" style="34" customWidth="1"/>
    <col min="8" max="8" width="19" style="34" customWidth="1"/>
    <col min="9" max="9" width="23.54296875" style="34" customWidth="1"/>
    <col min="10" max="10" width="18.81640625" style="34" customWidth="1"/>
    <col min="11" max="11" width="26.26953125" style="34" bestFit="1" customWidth="1"/>
    <col min="12" max="12" width="16.54296875" style="34" customWidth="1"/>
    <col min="13" max="13" width="16" style="34" bestFit="1" customWidth="1"/>
    <col min="14" max="14" width="12" style="34" bestFit="1" customWidth="1"/>
    <col min="15" max="16" width="11" style="34" bestFit="1" customWidth="1"/>
    <col min="17" max="18" width="9.1796875" style="34"/>
    <col min="19" max="19" width="16" style="34" bestFit="1" customWidth="1"/>
    <col min="20" max="20" width="16" style="34" customWidth="1"/>
    <col min="21" max="21" width="12" style="34" bestFit="1" customWidth="1"/>
    <col min="22" max="24" width="11" style="34" bestFit="1" customWidth="1"/>
    <col min="25" max="16384" width="9.1796875" style="34"/>
  </cols>
  <sheetData>
    <row r="1" spans="1:24" ht="20.5" x14ac:dyDescent="0.45">
      <c r="A1" s="3" t="s">
        <v>17</v>
      </c>
      <c r="B1" s="4"/>
      <c r="C1" s="4"/>
      <c r="D1" s="4"/>
      <c r="E1" s="4"/>
      <c r="F1" s="4"/>
      <c r="K1" s="34" t="s">
        <v>461</v>
      </c>
      <c r="M1" s="39">
        <f>M2*M3</f>
        <v>100000000</v>
      </c>
    </row>
    <row r="2" spans="1:24" ht="20.5" x14ac:dyDescent="0.45">
      <c r="A2" s="4" t="s">
        <v>146</v>
      </c>
      <c r="B2" s="4"/>
      <c r="C2" s="4"/>
      <c r="D2" s="4"/>
      <c r="E2" s="4"/>
      <c r="F2" s="4"/>
      <c r="K2" s="34" t="s">
        <v>460</v>
      </c>
      <c r="M2" s="34">
        <v>10000</v>
      </c>
    </row>
    <row r="3" spans="1:24" ht="20.5" x14ac:dyDescent="0.45">
      <c r="A3" s="4"/>
      <c r="B3" s="4"/>
      <c r="C3" s="4"/>
      <c r="D3" s="4"/>
      <c r="E3" s="4"/>
      <c r="F3" s="4"/>
      <c r="K3" s="4" t="s">
        <v>13</v>
      </c>
      <c r="L3" s="4"/>
      <c r="M3" s="78">
        <v>10000</v>
      </c>
      <c r="O3" s="34" t="s">
        <v>422</v>
      </c>
      <c r="P3" s="39">
        <f>(M3-M4)*M2-M5</f>
        <v>0</v>
      </c>
      <c r="R3" s="4" t="s">
        <v>13</v>
      </c>
      <c r="S3" s="78">
        <v>10000</v>
      </c>
    </row>
    <row r="4" spans="1:24" ht="20.5" x14ac:dyDescent="0.45">
      <c r="A4" s="4" t="s">
        <v>147</v>
      </c>
      <c r="B4" s="4"/>
      <c r="C4" s="4"/>
      <c r="D4" s="4"/>
      <c r="E4" s="4"/>
      <c r="F4" s="4"/>
      <c r="H4" s="77"/>
      <c r="K4" s="4" t="s">
        <v>149</v>
      </c>
      <c r="L4" s="4"/>
      <c r="M4" s="78">
        <v>5000</v>
      </c>
      <c r="R4" s="4" t="s">
        <v>149</v>
      </c>
      <c r="S4" s="78">
        <v>5000</v>
      </c>
    </row>
    <row r="5" spans="1:24" ht="20.5" x14ac:dyDescent="0.45">
      <c r="A5" s="4"/>
      <c r="B5" s="4"/>
      <c r="C5" s="57" t="s">
        <v>148</v>
      </c>
      <c r="D5" s="4"/>
      <c r="E5" s="4"/>
      <c r="F5" s="4"/>
      <c r="H5" s="77"/>
      <c r="K5" s="4" t="s">
        <v>150</v>
      </c>
      <c r="L5" s="4"/>
      <c r="M5" s="78">
        <v>50000000</v>
      </c>
      <c r="R5" s="4" t="s">
        <v>150</v>
      </c>
      <c r="S5" s="78">
        <v>50000000</v>
      </c>
    </row>
    <row r="6" spans="1:24" ht="20.5" x14ac:dyDescent="0.45">
      <c r="A6" s="4" t="s">
        <v>13</v>
      </c>
      <c r="B6" s="4"/>
      <c r="C6" s="78">
        <v>10000</v>
      </c>
      <c r="D6" s="4"/>
      <c r="E6" s="4"/>
      <c r="F6" s="4"/>
      <c r="H6" s="77"/>
      <c r="L6" s="34" t="s">
        <v>457</v>
      </c>
      <c r="N6" s="34" t="s">
        <v>459</v>
      </c>
      <c r="R6" s="34" t="s">
        <v>462</v>
      </c>
      <c r="S6" s="135">
        <v>0.3</v>
      </c>
    </row>
    <row r="7" spans="1:24" ht="20.5" x14ac:dyDescent="0.45">
      <c r="A7" s="4" t="s">
        <v>149</v>
      </c>
      <c r="B7" s="4"/>
      <c r="C7" s="78">
        <v>5000</v>
      </c>
      <c r="D7" s="4"/>
      <c r="E7" s="4"/>
      <c r="F7" s="4"/>
      <c r="L7" s="34" t="s">
        <v>458</v>
      </c>
    </row>
    <row r="8" spans="1:24" ht="20.5" x14ac:dyDescent="0.45">
      <c r="A8" s="4" t="s">
        <v>150</v>
      </c>
      <c r="B8" s="4"/>
      <c r="C8" s="78">
        <v>50000000</v>
      </c>
      <c r="D8" s="4"/>
      <c r="E8" s="4"/>
      <c r="F8" s="3"/>
      <c r="G8" s="40"/>
      <c r="H8" s="40"/>
      <c r="I8" s="40"/>
      <c r="J8" s="40"/>
      <c r="K8" s="34" t="s">
        <v>456</v>
      </c>
      <c r="L8" s="34" t="s">
        <v>433</v>
      </c>
      <c r="M8" s="34" t="s">
        <v>413</v>
      </c>
      <c r="N8" s="34" t="s">
        <v>434</v>
      </c>
      <c r="R8" s="34" t="s">
        <v>463</v>
      </c>
      <c r="S8" s="34" t="s">
        <v>434</v>
      </c>
      <c r="T8" s="34" t="s">
        <v>464</v>
      </c>
    </row>
    <row r="9" spans="1:24" ht="20.5" x14ac:dyDescent="0.45">
      <c r="A9" s="4"/>
      <c r="B9" s="4"/>
      <c r="C9" s="79"/>
      <c r="D9" s="4"/>
      <c r="E9" s="4"/>
      <c r="F9" s="3"/>
      <c r="G9" s="40"/>
      <c r="H9" s="40"/>
      <c r="I9" s="40"/>
      <c r="J9" s="40"/>
      <c r="K9" s="134">
        <v>0</v>
      </c>
      <c r="L9" s="39">
        <f>$M$4*K9+M9</f>
        <v>50000000</v>
      </c>
      <c r="M9" s="39">
        <f>$M$5</f>
        <v>50000000</v>
      </c>
      <c r="N9" s="39">
        <f>$M$3*K9</f>
        <v>0</v>
      </c>
      <c r="O9" s="39"/>
      <c r="R9" s="34">
        <v>0</v>
      </c>
      <c r="S9" s="39">
        <f t="shared" ref="S9:S29" si="0">R9*$S$3</f>
        <v>0</v>
      </c>
      <c r="T9" s="39">
        <f t="shared" ref="T9:T29" si="1">70%*(S9-($S$5+$S$4*R9))</f>
        <v>-35000000</v>
      </c>
      <c r="U9" s="39"/>
      <c r="V9" s="39"/>
      <c r="W9" s="39"/>
      <c r="X9" s="39"/>
    </row>
    <row r="10" spans="1:24" ht="20.5" x14ac:dyDescent="0.45">
      <c r="A10" s="3" t="s">
        <v>0</v>
      </c>
      <c r="B10" s="4"/>
      <c r="C10" s="4"/>
      <c r="D10" s="4"/>
      <c r="E10" s="4"/>
      <c r="F10" s="3"/>
      <c r="G10" s="40"/>
      <c r="H10" s="40"/>
      <c r="I10" s="40"/>
      <c r="J10" s="40"/>
      <c r="K10" s="134">
        <v>1000</v>
      </c>
      <c r="L10" s="39">
        <f t="shared" ref="L10:L29" si="2">$M$4*K10+M10</f>
        <v>55000000</v>
      </c>
      <c r="M10" s="39">
        <f t="shared" ref="M10:M29" si="3">$M$5</f>
        <v>50000000</v>
      </c>
      <c r="N10" s="39">
        <f t="shared" ref="N10:N29" si="4">$M$3*K10</f>
        <v>10000000</v>
      </c>
      <c r="O10" s="39"/>
      <c r="R10" s="34">
        <v>1000</v>
      </c>
      <c r="S10" s="39">
        <f t="shared" si="0"/>
        <v>10000000</v>
      </c>
      <c r="T10" s="39">
        <f t="shared" si="1"/>
        <v>-31499999.999999996</v>
      </c>
      <c r="U10" s="39"/>
      <c r="V10" s="39"/>
      <c r="W10" s="39"/>
      <c r="X10" s="39"/>
    </row>
    <row r="11" spans="1:24" ht="20.5" x14ac:dyDescent="0.45">
      <c r="A11" s="4" t="s">
        <v>151</v>
      </c>
      <c r="B11" s="4"/>
      <c r="C11" s="4"/>
      <c r="D11" s="4"/>
      <c r="E11" s="4"/>
      <c r="F11" s="78"/>
      <c r="G11" s="41"/>
      <c r="H11" s="41"/>
      <c r="I11" s="77"/>
      <c r="J11" s="77"/>
      <c r="K11" s="134">
        <v>2000</v>
      </c>
      <c r="L11" s="39">
        <f t="shared" si="2"/>
        <v>60000000</v>
      </c>
      <c r="M11" s="39">
        <f t="shared" si="3"/>
        <v>50000000</v>
      </c>
      <c r="N11" s="39">
        <f t="shared" si="4"/>
        <v>20000000</v>
      </c>
      <c r="O11" s="39"/>
      <c r="R11" s="34">
        <v>2000</v>
      </c>
      <c r="S11" s="39">
        <f t="shared" si="0"/>
        <v>20000000</v>
      </c>
      <c r="T11" s="39">
        <f t="shared" si="1"/>
        <v>-28000000</v>
      </c>
      <c r="U11" s="39"/>
      <c r="V11" s="39"/>
      <c r="W11" s="39"/>
      <c r="X11" s="39"/>
    </row>
    <row r="12" spans="1:24" ht="20.5" x14ac:dyDescent="0.45">
      <c r="A12" s="4" t="s">
        <v>152</v>
      </c>
      <c r="B12" s="4"/>
      <c r="C12" s="4"/>
      <c r="D12" s="4"/>
      <c r="E12" s="4"/>
      <c r="F12" s="78"/>
      <c r="G12" s="41"/>
      <c r="I12" s="80" t="s">
        <v>42</v>
      </c>
      <c r="J12" s="77"/>
      <c r="K12" s="134">
        <v>3000</v>
      </c>
      <c r="L12" s="39">
        <f t="shared" si="2"/>
        <v>65000000</v>
      </c>
      <c r="M12" s="39">
        <f t="shared" si="3"/>
        <v>50000000</v>
      </c>
      <c r="N12" s="39">
        <f t="shared" si="4"/>
        <v>30000000</v>
      </c>
      <c r="O12" s="39"/>
      <c r="R12" s="34">
        <v>3000</v>
      </c>
      <c r="S12" s="39">
        <f t="shared" si="0"/>
        <v>30000000</v>
      </c>
      <c r="T12" s="39">
        <f t="shared" si="1"/>
        <v>-24500000</v>
      </c>
      <c r="U12" s="39"/>
      <c r="V12" s="39"/>
      <c r="W12" s="39"/>
      <c r="X12" s="39"/>
    </row>
    <row r="13" spans="1:24" ht="20.5" x14ac:dyDescent="0.45">
      <c r="A13" s="4"/>
      <c r="B13" s="4"/>
      <c r="C13" s="4"/>
      <c r="D13" s="4"/>
      <c r="E13" s="4"/>
      <c r="F13" s="78"/>
      <c r="G13" s="41"/>
      <c r="H13" s="41"/>
      <c r="I13" s="77"/>
      <c r="J13" s="77"/>
      <c r="K13" s="134">
        <v>4000</v>
      </c>
      <c r="L13" s="39">
        <f t="shared" si="2"/>
        <v>70000000</v>
      </c>
      <c r="M13" s="39">
        <f t="shared" si="3"/>
        <v>50000000</v>
      </c>
      <c r="N13" s="39">
        <f t="shared" si="4"/>
        <v>40000000</v>
      </c>
      <c r="O13" s="39"/>
      <c r="R13" s="34">
        <v>4000</v>
      </c>
      <c r="S13" s="39">
        <f t="shared" si="0"/>
        <v>40000000</v>
      </c>
      <c r="T13" s="39">
        <f t="shared" si="1"/>
        <v>-21000000</v>
      </c>
      <c r="U13" s="39"/>
      <c r="V13" s="39"/>
      <c r="W13" s="39"/>
      <c r="X13" s="39"/>
    </row>
    <row r="14" spans="1:24" ht="20.5" x14ac:dyDescent="0.45">
      <c r="A14" s="4" t="s">
        <v>153</v>
      </c>
      <c r="B14" s="4"/>
      <c r="C14" s="4"/>
      <c r="D14" s="4"/>
      <c r="E14" s="4"/>
      <c r="F14" s="78"/>
      <c r="G14" s="41"/>
      <c r="H14" s="41"/>
      <c r="I14" s="77"/>
      <c r="J14" s="77"/>
      <c r="K14" s="134">
        <v>5000</v>
      </c>
      <c r="L14" s="39">
        <f t="shared" si="2"/>
        <v>75000000</v>
      </c>
      <c r="M14" s="39">
        <f t="shared" si="3"/>
        <v>50000000</v>
      </c>
      <c r="N14" s="39">
        <f t="shared" si="4"/>
        <v>50000000</v>
      </c>
      <c r="O14" s="39"/>
      <c r="R14" s="34">
        <v>5000</v>
      </c>
      <c r="S14" s="39">
        <f t="shared" si="0"/>
        <v>50000000</v>
      </c>
      <c r="T14" s="39">
        <f t="shared" si="1"/>
        <v>-17500000</v>
      </c>
      <c r="U14" s="39"/>
      <c r="V14" s="39"/>
      <c r="W14" s="39"/>
      <c r="X14" s="39"/>
    </row>
    <row r="15" spans="1:24" ht="20.5" x14ac:dyDescent="0.45">
      <c r="A15" s="4" t="s">
        <v>154</v>
      </c>
      <c r="B15" s="4"/>
      <c r="C15" s="4"/>
      <c r="D15" s="4"/>
      <c r="E15" s="4"/>
      <c r="F15" s="78"/>
      <c r="G15" s="41"/>
      <c r="I15" s="80" t="s">
        <v>42</v>
      </c>
      <c r="J15" s="77"/>
      <c r="K15" s="134">
        <v>6000</v>
      </c>
      <c r="L15" s="39">
        <f t="shared" si="2"/>
        <v>80000000</v>
      </c>
      <c r="M15" s="39">
        <f t="shared" si="3"/>
        <v>50000000</v>
      </c>
      <c r="N15" s="39">
        <f t="shared" si="4"/>
        <v>60000000</v>
      </c>
      <c r="O15" s="39"/>
      <c r="R15" s="34">
        <v>6000</v>
      </c>
      <c r="S15" s="39">
        <f t="shared" si="0"/>
        <v>60000000</v>
      </c>
      <c r="T15" s="39">
        <f t="shared" si="1"/>
        <v>-14000000</v>
      </c>
      <c r="U15" s="39"/>
      <c r="V15" s="39"/>
      <c r="W15" s="39"/>
      <c r="X15" s="39"/>
    </row>
    <row r="16" spans="1:24" ht="20.5" x14ac:dyDescent="0.45">
      <c r="A16" s="4"/>
      <c r="B16" s="4"/>
      <c r="C16" s="4"/>
      <c r="D16" s="4"/>
      <c r="E16" s="4"/>
      <c r="F16" s="78"/>
      <c r="G16" s="41"/>
      <c r="H16" s="41"/>
      <c r="I16" s="77"/>
      <c r="J16" s="77"/>
      <c r="K16" s="134">
        <v>7000</v>
      </c>
      <c r="L16" s="39">
        <f t="shared" si="2"/>
        <v>85000000</v>
      </c>
      <c r="M16" s="39">
        <f t="shared" si="3"/>
        <v>50000000</v>
      </c>
      <c r="N16" s="39">
        <f t="shared" si="4"/>
        <v>70000000</v>
      </c>
      <c r="O16" s="39"/>
      <c r="R16" s="34">
        <v>7000</v>
      </c>
      <c r="S16" s="39">
        <f t="shared" si="0"/>
        <v>70000000</v>
      </c>
      <c r="T16" s="39">
        <f t="shared" si="1"/>
        <v>-10500000</v>
      </c>
      <c r="U16" s="39"/>
      <c r="V16" s="39"/>
      <c r="W16" s="39"/>
      <c r="X16" s="39"/>
    </row>
    <row r="17" spans="1:24" ht="20.5" x14ac:dyDescent="0.45">
      <c r="A17" s="4" t="s">
        <v>155</v>
      </c>
      <c r="B17" s="4"/>
      <c r="C17" s="4"/>
      <c r="D17" s="4"/>
      <c r="E17" s="4"/>
      <c r="F17" s="78"/>
      <c r="G17" s="41"/>
      <c r="H17" s="41"/>
      <c r="I17" s="77"/>
      <c r="J17" s="77"/>
      <c r="K17" s="134">
        <v>8000</v>
      </c>
      <c r="L17" s="39">
        <f t="shared" si="2"/>
        <v>90000000</v>
      </c>
      <c r="M17" s="39">
        <f t="shared" si="3"/>
        <v>50000000</v>
      </c>
      <c r="N17" s="39">
        <f t="shared" si="4"/>
        <v>80000000</v>
      </c>
      <c r="O17" s="39"/>
      <c r="R17" s="34">
        <v>8000</v>
      </c>
      <c r="S17" s="39">
        <f t="shared" si="0"/>
        <v>80000000</v>
      </c>
      <c r="T17" s="39">
        <f t="shared" si="1"/>
        <v>-7000000</v>
      </c>
      <c r="U17" s="39"/>
      <c r="V17" s="39"/>
      <c r="W17" s="39"/>
      <c r="X17" s="39"/>
    </row>
    <row r="18" spans="1:24" ht="20.5" x14ac:dyDescent="0.45">
      <c r="A18" s="4" t="s">
        <v>156</v>
      </c>
      <c r="B18" s="4"/>
      <c r="C18" s="4"/>
      <c r="D18" s="4"/>
      <c r="E18" s="4"/>
      <c r="F18" s="78"/>
      <c r="G18" s="41"/>
      <c r="H18" s="41"/>
      <c r="I18" s="77"/>
      <c r="J18" s="77"/>
      <c r="K18" s="134">
        <v>9000</v>
      </c>
      <c r="L18" s="39">
        <f t="shared" si="2"/>
        <v>95000000</v>
      </c>
      <c r="M18" s="39">
        <f t="shared" si="3"/>
        <v>50000000</v>
      </c>
      <c r="N18" s="39">
        <f t="shared" si="4"/>
        <v>90000000</v>
      </c>
      <c r="O18" s="39"/>
      <c r="R18" s="34">
        <v>9000</v>
      </c>
      <c r="S18" s="39">
        <f t="shared" si="0"/>
        <v>90000000</v>
      </c>
      <c r="T18" s="39">
        <f t="shared" si="1"/>
        <v>-3500000</v>
      </c>
      <c r="U18" s="39"/>
      <c r="V18" s="39"/>
      <c r="W18" s="39"/>
      <c r="X18" s="39"/>
    </row>
    <row r="19" spans="1:24" ht="20.5" x14ac:dyDescent="0.45">
      <c r="A19" s="4" t="s">
        <v>157</v>
      </c>
      <c r="B19" s="4"/>
      <c r="C19" s="4"/>
      <c r="D19" s="4"/>
      <c r="E19" s="4"/>
      <c r="F19" s="34" t="s">
        <v>457</v>
      </c>
      <c r="I19" s="81" t="s">
        <v>11</v>
      </c>
      <c r="J19" s="77"/>
      <c r="K19" s="134">
        <v>10000</v>
      </c>
      <c r="L19" s="39">
        <f t="shared" si="2"/>
        <v>100000000</v>
      </c>
      <c r="M19" s="133">
        <f t="shared" si="3"/>
        <v>50000000</v>
      </c>
      <c r="N19" s="133">
        <f t="shared" si="4"/>
        <v>100000000</v>
      </c>
      <c r="O19" s="133"/>
      <c r="R19" s="34">
        <v>10000</v>
      </c>
      <c r="S19" s="39">
        <f t="shared" si="0"/>
        <v>100000000</v>
      </c>
      <c r="T19" s="39">
        <f t="shared" si="1"/>
        <v>0</v>
      </c>
      <c r="U19" s="39"/>
      <c r="V19" s="39"/>
      <c r="W19" s="39"/>
      <c r="X19" s="39"/>
    </row>
    <row r="20" spans="1:24" ht="20.5" x14ac:dyDescent="0.45">
      <c r="A20" s="4"/>
      <c r="B20" s="4" t="s">
        <v>13</v>
      </c>
      <c r="C20" s="4"/>
      <c r="D20" s="78">
        <v>10000</v>
      </c>
      <c r="E20" s="4"/>
      <c r="F20" s="78" t="s">
        <v>466</v>
      </c>
      <c r="H20" s="78">
        <f>D22/(D20-D21)</f>
        <v>10000</v>
      </c>
      <c r="I20" s="82" t="s">
        <v>12</v>
      </c>
      <c r="J20" s="77"/>
      <c r="K20" s="134">
        <v>11000</v>
      </c>
      <c r="L20" s="39">
        <f t="shared" si="2"/>
        <v>105000000</v>
      </c>
      <c r="M20" s="39">
        <f t="shared" si="3"/>
        <v>50000000</v>
      </c>
      <c r="N20" s="39">
        <f t="shared" si="4"/>
        <v>110000000</v>
      </c>
      <c r="O20" s="39"/>
      <c r="R20" s="34">
        <v>11000</v>
      </c>
      <c r="S20" s="39">
        <f t="shared" si="0"/>
        <v>110000000</v>
      </c>
      <c r="T20" s="39">
        <f t="shared" si="1"/>
        <v>3500000</v>
      </c>
      <c r="U20" s="39"/>
      <c r="V20" s="39"/>
      <c r="W20" s="39"/>
      <c r="X20" s="39"/>
    </row>
    <row r="21" spans="1:24" ht="20.5" x14ac:dyDescent="0.45">
      <c r="A21" s="4"/>
      <c r="B21" s="4" t="s">
        <v>149</v>
      </c>
      <c r="C21" s="4"/>
      <c r="D21" s="78">
        <v>5000</v>
      </c>
      <c r="E21" s="4"/>
      <c r="F21" s="34" t="s">
        <v>472</v>
      </c>
      <c r="I21" s="77"/>
      <c r="J21" s="77"/>
      <c r="K21" s="134">
        <v>12000</v>
      </c>
      <c r="L21" s="39">
        <f t="shared" si="2"/>
        <v>110000000</v>
      </c>
      <c r="M21" s="39">
        <f t="shared" si="3"/>
        <v>50000000</v>
      </c>
      <c r="N21" s="39">
        <f t="shared" si="4"/>
        <v>120000000</v>
      </c>
      <c r="O21" s="39"/>
      <c r="R21" s="34">
        <v>12000</v>
      </c>
      <c r="S21" s="39">
        <f t="shared" si="0"/>
        <v>120000000</v>
      </c>
      <c r="T21" s="39">
        <f t="shared" si="1"/>
        <v>7000000</v>
      </c>
      <c r="U21" s="39"/>
      <c r="V21" s="39"/>
      <c r="W21" s="39"/>
      <c r="X21" s="39"/>
    </row>
    <row r="22" spans="1:24" ht="20.5" x14ac:dyDescent="0.45">
      <c r="A22" s="4"/>
      <c r="B22" s="4" t="s">
        <v>150</v>
      </c>
      <c r="C22" s="4"/>
      <c r="D22" s="78">
        <v>50000000</v>
      </c>
      <c r="E22" s="4"/>
      <c r="G22" s="39">
        <f>H20*D20</f>
        <v>100000000</v>
      </c>
      <c r="H22" s="41"/>
      <c r="J22" s="77"/>
      <c r="K22" s="134">
        <v>13000</v>
      </c>
      <c r="L22" s="39">
        <f t="shared" si="2"/>
        <v>115000000</v>
      </c>
      <c r="M22" s="39">
        <f t="shared" si="3"/>
        <v>50000000</v>
      </c>
      <c r="N22" s="39">
        <f t="shared" si="4"/>
        <v>130000000</v>
      </c>
      <c r="O22" s="39"/>
      <c r="R22" s="34">
        <v>13000</v>
      </c>
      <c r="S22" s="39">
        <f t="shared" si="0"/>
        <v>130000000</v>
      </c>
      <c r="T22" s="39">
        <f t="shared" si="1"/>
        <v>10500000</v>
      </c>
      <c r="U22" s="39"/>
      <c r="V22" s="39"/>
      <c r="W22" s="39"/>
      <c r="X22" s="39"/>
    </row>
    <row r="23" spans="1:24" ht="20.5" x14ac:dyDescent="0.45">
      <c r="B23" s="34" t="s">
        <v>473</v>
      </c>
      <c r="D23" s="135">
        <v>0.3</v>
      </c>
      <c r="F23" s="78" t="s">
        <v>471</v>
      </c>
      <c r="G23" s="41"/>
      <c r="H23" s="41"/>
      <c r="J23" s="77"/>
      <c r="K23" s="134">
        <v>14000</v>
      </c>
      <c r="L23" s="39">
        <f t="shared" si="2"/>
        <v>120000000</v>
      </c>
      <c r="M23" s="39">
        <f t="shared" si="3"/>
        <v>50000000</v>
      </c>
      <c r="N23" s="39">
        <f t="shared" si="4"/>
        <v>140000000</v>
      </c>
      <c r="O23" s="39"/>
      <c r="R23" s="34">
        <v>14000</v>
      </c>
      <c r="S23" s="39">
        <f t="shared" si="0"/>
        <v>140000000</v>
      </c>
      <c r="T23" s="39">
        <f t="shared" si="1"/>
        <v>14000000</v>
      </c>
      <c r="U23" s="39"/>
      <c r="V23" s="39"/>
      <c r="W23" s="39"/>
      <c r="X23" s="39"/>
    </row>
    <row r="24" spans="1:24" x14ac:dyDescent="0.3">
      <c r="D24" s="34" t="s">
        <v>467</v>
      </c>
      <c r="E24" s="136" t="s">
        <v>468</v>
      </c>
      <c r="F24" s="34" t="s">
        <v>470</v>
      </c>
      <c r="H24" s="41"/>
      <c r="I24" s="77"/>
      <c r="J24" s="77"/>
      <c r="K24" s="134">
        <v>15000</v>
      </c>
      <c r="L24" s="39">
        <f t="shared" si="2"/>
        <v>125000000</v>
      </c>
      <c r="M24" s="39">
        <f t="shared" si="3"/>
        <v>50000000</v>
      </c>
      <c r="N24" s="39">
        <f t="shared" si="4"/>
        <v>150000000</v>
      </c>
      <c r="O24" s="39"/>
      <c r="R24" s="34">
        <v>15000</v>
      </c>
      <c r="S24" s="39">
        <f t="shared" si="0"/>
        <v>150000000</v>
      </c>
      <c r="T24" s="39">
        <f t="shared" si="1"/>
        <v>17500000</v>
      </c>
      <c r="U24" s="39"/>
      <c r="V24" s="39"/>
      <c r="W24" s="39"/>
      <c r="X24" s="39"/>
    </row>
    <row r="25" spans="1:24" x14ac:dyDescent="0.3">
      <c r="B25" s="34" t="s">
        <v>409</v>
      </c>
      <c r="C25" s="40" t="s">
        <v>415</v>
      </c>
      <c r="D25" s="40" t="s">
        <v>465</v>
      </c>
      <c r="E25" s="140" t="s">
        <v>469</v>
      </c>
      <c r="F25" s="140" t="s">
        <v>431</v>
      </c>
      <c r="G25" s="40" t="s">
        <v>475</v>
      </c>
      <c r="H25" s="40" t="s">
        <v>413</v>
      </c>
      <c r="I25" s="40" t="s">
        <v>476</v>
      </c>
      <c r="J25" s="141" t="s">
        <v>474</v>
      </c>
      <c r="K25" s="134">
        <v>16000</v>
      </c>
      <c r="L25" s="39">
        <f t="shared" si="2"/>
        <v>130000000</v>
      </c>
      <c r="M25" s="39">
        <f t="shared" si="3"/>
        <v>50000000</v>
      </c>
      <c r="N25" s="39">
        <f t="shared" si="4"/>
        <v>160000000</v>
      </c>
      <c r="O25" s="39"/>
      <c r="R25" s="34">
        <v>16000</v>
      </c>
      <c r="S25" s="39">
        <f t="shared" si="0"/>
        <v>160000000</v>
      </c>
      <c r="T25" s="39">
        <f t="shared" si="1"/>
        <v>21000000</v>
      </c>
      <c r="U25" s="39"/>
      <c r="V25" s="39"/>
      <c r="W25" s="39"/>
      <c r="X25" s="39"/>
    </row>
    <row r="26" spans="1:24" x14ac:dyDescent="0.3">
      <c r="B26" s="39">
        <f>($D$22)/($D$20-$D$21)</f>
        <v>10000</v>
      </c>
      <c r="C26" s="134">
        <f>B26*$D$20</f>
        <v>100000000</v>
      </c>
      <c r="D26" s="39">
        <v>10000</v>
      </c>
      <c r="E26" s="137">
        <f>D26*$D$20</f>
        <v>100000000</v>
      </c>
      <c r="F26" s="139">
        <f>E26-C26</f>
        <v>0</v>
      </c>
      <c r="G26" s="39">
        <f>D26*$D$21</f>
        <v>50000000</v>
      </c>
      <c r="H26" s="39">
        <f>$D$22</f>
        <v>50000000</v>
      </c>
      <c r="I26" s="42">
        <f t="shared" ref="I26:I36" si="5">D26*$D$21+$D$22</f>
        <v>100000000</v>
      </c>
      <c r="J26" s="138">
        <f>(1-$D$23)</f>
        <v>0.7</v>
      </c>
      <c r="K26" s="134">
        <v>17000</v>
      </c>
      <c r="L26" s="39">
        <f t="shared" si="2"/>
        <v>135000000</v>
      </c>
      <c r="M26" s="39">
        <f t="shared" si="3"/>
        <v>50000000</v>
      </c>
      <c r="N26" s="39">
        <f t="shared" si="4"/>
        <v>170000000</v>
      </c>
      <c r="O26" s="39"/>
      <c r="R26" s="34">
        <v>17000</v>
      </c>
      <c r="S26" s="39">
        <f t="shared" si="0"/>
        <v>170000000</v>
      </c>
      <c r="T26" s="39">
        <f t="shared" si="1"/>
        <v>24500000</v>
      </c>
      <c r="U26" s="39"/>
      <c r="V26" s="39"/>
      <c r="W26" s="39"/>
      <c r="X26" s="39"/>
    </row>
    <row r="27" spans="1:24" x14ac:dyDescent="0.3">
      <c r="B27" s="39">
        <f t="shared" ref="B27:B36" si="6">($D$22)/($D$20-$D$21)</f>
        <v>10000</v>
      </c>
      <c r="C27" s="134">
        <f t="shared" ref="C27:C36" si="7">B27*$D$20</f>
        <v>100000000</v>
      </c>
      <c r="D27" s="39">
        <v>10500</v>
      </c>
      <c r="E27" s="137">
        <f t="shared" ref="E27:E36" si="8">D27*$D$20</f>
        <v>105000000</v>
      </c>
      <c r="F27" s="139">
        <f t="shared" ref="F27:F36" si="9">E27-C27</f>
        <v>5000000</v>
      </c>
      <c r="G27" s="39">
        <f t="shared" ref="G27:G36" si="10">D27*$D$21</f>
        <v>52500000</v>
      </c>
      <c r="H27" s="39">
        <f t="shared" ref="H27:H36" si="11">$D$22</f>
        <v>50000000</v>
      </c>
      <c r="I27" s="42">
        <f t="shared" si="5"/>
        <v>102500000</v>
      </c>
      <c r="J27" s="138">
        <f t="shared" ref="J27:J36" si="12">(1-$D$23)*(E27-I27)</f>
        <v>1750000</v>
      </c>
      <c r="K27" s="134">
        <v>18000</v>
      </c>
      <c r="L27" s="39">
        <f t="shared" si="2"/>
        <v>140000000</v>
      </c>
      <c r="M27" s="39">
        <f t="shared" si="3"/>
        <v>50000000</v>
      </c>
      <c r="N27" s="39">
        <f t="shared" si="4"/>
        <v>180000000</v>
      </c>
      <c r="O27" s="39"/>
      <c r="R27" s="34">
        <v>18000</v>
      </c>
      <c r="S27" s="39">
        <f t="shared" si="0"/>
        <v>180000000</v>
      </c>
      <c r="T27" s="39">
        <f t="shared" si="1"/>
        <v>28000000</v>
      </c>
      <c r="U27" s="39"/>
      <c r="V27" s="39"/>
      <c r="W27" s="39"/>
      <c r="X27" s="39"/>
    </row>
    <row r="28" spans="1:24" x14ac:dyDescent="0.3">
      <c r="B28" s="39">
        <f t="shared" si="6"/>
        <v>10000</v>
      </c>
      <c r="C28" s="134">
        <f t="shared" si="7"/>
        <v>100000000</v>
      </c>
      <c r="D28" s="39">
        <v>11000</v>
      </c>
      <c r="E28" s="137">
        <f t="shared" si="8"/>
        <v>110000000</v>
      </c>
      <c r="F28" s="139">
        <f t="shared" si="9"/>
        <v>10000000</v>
      </c>
      <c r="G28" s="39">
        <f t="shared" si="10"/>
        <v>55000000</v>
      </c>
      <c r="H28" s="39">
        <f t="shared" si="11"/>
        <v>50000000</v>
      </c>
      <c r="I28" s="42">
        <f t="shared" si="5"/>
        <v>105000000</v>
      </c>
      <c r="J28" s="138">
        <f t="shared" si="12"/>
        <v>3500000</v>
      </c>
      <c r="K28" s="134">
        <v>19000</v>
      </c>
      <c r="L28" s="39">
        <f t="shared" si="2"/>
        <v>145000000</v>
      </c>
      <c r="M28" s="39">
        <f t="shared" si="3"/>
        <v>50000000</v>
      </c>
      <c r="N28" s="39">
        <f t="shared" si="4"/>
        <v>190000000</v>
      </c>
      <c r="O28" s="39"/>
      <c r="R28" s="34">
        <v>19000</v>
      </c>
      <c r="S28" s="39">
        <f t="shared" si="0"/>
        <v>190000000</v>
      </c>
      <c r="T28" s="39">
        <f t="shared" si="1"/>
        <v>31499999.999999996</v>
      </c>
      <c r="U28" s="39"/>
      <c r="V28" s="39"/>
      <c r="W28" s="39"/>
      <c r="X28" s="39"/>
    </row>
    <row r="29" spans="1:24" x14ac:dyDescent="0.3">
      <c r="B29" s="39">
        <f t="shared" si="6"/>
        <v>10000</v>
      </c>
      <c r="C29" s="134">
        <f t="shared" si="7"/>
        <v>100000000</v>
      </c>
      <c r="D29" s="39">
        <v>11500</v>
      </c>
      <c r="E29" s="137">
        <f t="shared" si="8"/>
        <v>115000000</v>
      </c>
      <c r="F29" s="139">
        <f t="shared" si="9"/>
        <v>15000000</v>
      </c>
      <c r="G29" s="39">
        <f t="shared" si="10"/>
        <v>57500000</v>
      </c>
      <c r="H29" s="39">
        <f t="shared" si="11"/>
        <v>50000000</v>
      </c>
      <c r="I29" s="42">
        <f t="shared" si="5"/>
        <v>107500000</v>
      </c>
      <c r="J29" s="138">
        <f t="shared" si="12"/>
        <v>5250000</v>
      </c>
      <c r="K29" s="134">
        <v>20000</v>
      </c>
      <c r="L29" s="39">
        <f t="shared" si="2"/>
        <v>150000000</v>
      </c>
      <c r="M29" s="39">
        <f t="shared" si="3"/>
        <v>50000000</v>
      </c>
      <c r="N29" s="39">
        <f t="shared" si="4"/>
        <v>200000000</v>
      </c>
      <c r="O29" s="39"/>
      <c r="R29" s="34">
        <v>20000</v>
      </c>
      <c r="S29" s="39">
        <f t="shared" si="0"/>
        <v>200000000</v>
      </c>
      <c r="T29" s="39">
        <f t="shared" si="1"/>
        <v>35000000</v>
      </c>
      <c r="U29" s="39"/>
      <c r="V29" s="39"/>
      <c r="W29" s="39"/>
      <c r="X29" s="39"/>
    </row>
    <row r="30" spans="1:24" x14ac:dyDescent="0.3">
      <c r="B30" s="39">
        <f t="shared" si="6"/>
        <v>10000</v>
      </c>
      <c r="C30" s="134">
        <f t="shared" si="7"/>
        <v>100000000</v>
      </c>
      <c r="D30" s="39">
        <v>12000</v>
      </c>
      <c r="E30" s="137">
        <f t="shared" si="8"/>
        <v>120000000</v>
      </c>
      <c r="F30" s="139">
        <f t="shared" si="9"/>
        <v>20000000</v>
      </c>
      <c r="G30" s="39">
        <f t="shared" si="10"/>
        <v>60000000</v>
      </c>
      <c r="H30" s="39">
        <f t="shared" si="11"/>
        <v>50000000</v>
      </c>
      <c r="I30" s="42">
        <f t="shared" si="5"/>
        <v>110000000</v>
      </c>
      <c r="J30" s="138">
        <f t="shared" si="12"/>
        <v>7000000</v>
      </c>
    </row>
    <row r="31" spans="1:24" x14ac:dyDescent="0.3">
      <c r="B31" s="39">
        <f t="shared" si="6"/>
        <v>10000</v>
      </c>
      <c r="C31" s="134">
        <f t="shared" si="7"/>
        <v>100000000</v>
      </c>
      <c r="D31" s="39">
        <v>12500</v>
      </c>
      <c r="E31" s="137">
        <f t="shared" si="8"/>
        <v>125000000</v>
      </c>
      <c r="F31" s="139">
        <f t="shared" si="9"/>
        <v>25000000</v>
      </c>
      <c r="G31" s="39">
        <f t="shared" si="10"/>
        <v>62500000</v>
      </c>
      <c r="H31" s="39">
        <f t="shared" si="11"/>
        <v>50000000</v>
      </c>
      <c r="I31" s="42">
        <f t="shared" si="5"/>
        <v>112500000</v>
      </c>
      <c r="J31" s="138">
        <f t="shared" si="12"/>
        <v>8750000</v>
      </c>
    </row>
    <row r="32" spans="1:24" x14ac:dyDescent="0.3">
      <c r="B32" s="39">
        <f t="shared" si="6"/>
        <v>10000</v>
      </c>
      <c r="C32" s="134">
        <f t="shared" si="7"/>
        <v>100000000</v>
      </c>
      <c r="D32" s="39">
        <v>13000</v>
      </c>
      <c r="E32" s="137">
        <f t="shared" si="8"/>
        <v>130000000</v>
      </c>
      <c r="F32" s="139">
        <f t="shared" si="9"/>
        <v>30000000</v>
      </c>
      <c r="G32" s="39">
        <f t="shared" si="10"/>
        <v>65000000</v>
      </c>
      <c r="H32" s="39">
        <f t="shared" si="11"/>
        <v>50000000</v>
      </c>
      <c r="I32" s="42">
        <f t="shared" si="5"/>
        <v>115000000</v>
      </c>
      <c r="J32" s="138">
        <f t="shared" si="12"/>
        <v>10500000</v>
      </c>
    </row>
    <row r="33" spans="2:11" x14ac:dyDescent="0.3">
      <c r="B33" s="39">
        <f t="shared" si="6"/>
        <v>10000</v>
      </c>
      <c r="C33" s="134">
        <f t="shared" si="7"/>
        <v>100000000</v>
      </c>
      <c r="D33" s="39">
        <v>13500</v>
      </c>
      <c r="E33" s="137">
        <f t="shared" si="8"/>
        <v>135000000</v>
      </c>
      <c r="F33" s="139">
        <f t="shared" si="9"/>
        <v>35000000</v>
      </c>
      <c r="G33" s="39">
        <f t="shared" si="10"/>
        <v>67500000</v>
      </c>
      <c r="H33" s="39">
        <f t="shared" si="11"/>
        <v>50000000</v>
      </c>
      <c r="I33" s="42">
        <f t="shared" si="5"/>
        <v>117500000</v>
      </c>
      <c r="J33" s="138">
        <f t="shared" si="12"/>
        <v>12250000</v>
      </c>
    </row>
    <row r="34" spans="2:11" x14ac:dyDescent="0.3">
      <c r="B34" s="39">
        <f t="shared" si="6"/>
        <v>10000</v>
      </c>
      <c r="C34" s="134">
        <f t="shared" si="7"/>
        <v>100000000</v>
      </c>
      <c r="D34" s="39">
        <v>14000</v>
      </c>
      <c r="E34" s="137">
        <f t="shared" si="8"/>
        <v>140000000</v>
      </c>
      <c r="F34" s="139">
        <f t="shared" si="9"/>
        <v>40000000</v>
      </c>
      <c r="G34" s="39">
        <f t="shared" si="10"/>
        <v>70000000</v>
      </c>
      <c r="H34" s="39">
        <f t="shared" si="11"/>
        <v>50000000</v>
      </c>
      <c r="I34" s="42">
        <f t="shared" si="5"/>
        <v>120000000</v>
      </c>
      <c r="J34" s="138">
        <f t="shared" si="12"/>
        <v>14000000</v>
      </c>
      <c r="K34" s="40"/>
    </row>
    <row r="35" spans="2:11" x14ac:dyDescent="0.3">
      <c r="B35" s="39">
        <f t="shared" si="6"/>
        <v>10000</v>
      </c>
      <c r="C35" s="134">
        <f t="shared" si="7"/>
        <v>100000000</v>
      </c>
      <c r="D35" s="39">
        <v>14500</v>
      </c>
      <c r="E35" s="137">
        <f t="shared" si="8"/>
        <v>145000000</v>
      </c>
      <c r="F35" s="139">
        <f t="shared" si="9"/>
        <v>45000000</v>
      </c>
      <c r="G35" s="39">
        <f t="shared" si="10"/>
        <v>72500000</v>
      </c>
      <c r="H35" s="39">
        <f t="shared" si="11"/>
        <v>50000000</v>
      </c>
      <c r="I35" s="42">
        <f t="shared" si="5"/>
        <v>122500000</v>
      </c>
      <c r="J35" s="138">
        <f t="shared" si="12"/>
        <v>15749999.999999998</v>
      </c>
      <c r="K35" s="40"/>
    </row>
    <row r="36" spans="2:11" x14ac:dyDescent="0.3">
      <c r="B36" s="39">
        <f t="shared" si="6"/>
        <v>10000</v>
      </c>
      <c r="C36" s="134">
        <f t="shared" si="7"/>
        <v>100000000</v>
      </c>
      <c r="D36" s="39">
        <v>15000</v>
      </c>
      <c r="E36" s="137">
        <f t="shared" si="8"/>
        <v>150000000</v>
      </c>
      <c r="F36" s="139">
        <f t="shared" si="9"/>
        <v>50000000</v>
      </c>
      <c r="G36" s="39">
        <f t="shared" si="10"/>
        <v>75000000</v>
      </c>
      <c r="H36" s="39">
        <f t="shared" si="11"/>
        <v>50000000</v>
      </c>
      <c r="I36" s="42">
        <f t="shared" si="5"/>
        <v>125000000</v>
      </c>
      <c r="J36" s="138">
        <f t="shared" si="12"/>
        <v>17500000</v>
      </c>
    </row>
    <row r="37" spans="2:11" x14ac:dyDescent="0.3">
      <c r="B37" s="39"/>
      <c r="F37" s="42"/>
      <c r="G37" s="41"/>
      <c r="H37" s="77"/>
      <c r="I37" s="77"/>
      <c r="J37" s="77"/>
    </row>
    <row r="38" spans="2:11" x14ac:dyDescent="0.3">
      <c r="B38" s="39"/>
      <c r="F38" s="42"/>
      <c r="G38" s="41"/>
      <c r="H38" s="77"/>
      <c r="I38" s="77"/>
      <c r="J38" s="77"/>
    </row>
    <row r="39" spans="2:11" x14ac:dyDescent="0.3">
      <c r="F39" s="42"/>
      <c r="G39" s="41"/>
      <c r="H39" s="77"/>
      <c r="I39" s="77"/>
      <c r="J39" s="77"/>
    </row>
    <row r="40" spans="2:11" x14ac:dyDescent="0.3">
      <c r="F40" s="42"/>
      <c r="G40" s="41"/>
      <c r="H40" s="77"/>
      <c r="I40" s="77"/>
      <c r="J40" s="77"/>
    </row>
    <row r="41" spans="2:11" x14ac:dyDescent="0.3">
      <c r="F41" s="42"/>
      <c r="G41" s="41"/>
      <c r="H41" s="77"/>
      <c r="I41" s="77"/>
      <c r="J41" s="77"/>
    </row>
    <row r="42" spans="2:11" x14ac:dyDescent="0.3">
      <c r="F42" s="42"/>
      <c r="G42" s="41"/>
      <c r="H42" s="77"/>
      <c r="I42" s="77"/>
      <c r="J42" s="77"/>
    </row>
    <row r="43" spans="2:11" x14ac:dyDescent="0.3">
      <c r="F43" s="42"/>
      <c r="G43" s="41"/>
      <c r="H43" s="77"/>
      <c r="I43" s="77"/>
      <c r="J43" s="77"/>
    </row>
    <row r="44" spans="2:11" x14ac:dyDescent="0.3">
      <c r="F44" s="42"/>
      <c r="G44" s="41"/>
      <c r="H44" s="77"/>
      <c r="I44" s="77"/>
      <c r="J44" s="77"/>
    </row>
    <row r="45" spans="2:11" x14ac:dyDescent="0.3">
      <c r="F45" s="42"/>
      <c r="G45" s="41"/>
      <c r="H45" s="77"/>
      <c r="I45" s="77"/>
      <c r="J45" s="77"/>
    </row>
    <row r="46" spans="2:11" x14ac:dyDescent="0.3">
      <c r="F46" s="42"/>
      <c r="G46" s="41"/>
      <c r="H46" s="77"/>
      <c r="I46" s="77"/>
      <c r="J46" s="77"/>
    </row>
    <row r="47" spans="2:11" x14ac:dyDescent="0.3">
      <c r="F47" s="42"/>
      <c r="G47" s="41"/>
      <c r="H47" s="77"/>
      <c r="I47" s="77"/>
      <c r="J47" s="77"/>
    </row>
    <row r="48" spans="2:11" x14ac:dyDescent="0.3">
      <c r="F48" s="42"/>
      <c r="G48" s="41"/>
      <c r="H48" s="77"/>
      <c r="I48" s="77"/>
      <c r="J48" s="77"/>
    </row>
    <row r="49" spans="6:12" x14ac:dyDescent="0.3">
      <c r="F49" s="42"/>
      <c r="G49" s="41"/>
      <c r="H49" s="77"/>
      <c r="I49" s="77"/>
      <c r="J49" s="77"/>
    </row>
    <row r="50" spans="6:12" x14ac:dyDescent="0.3">
      <c r="F50" s="42"/>
      <c r="G50" s="41"/>
      <c r="H50" s="77"/>
      <c r="I50" s="77"/>
      <c r="J50" s="77"/>
    </row>
    <row r="51" spans="6:12" x14ac:dyDescent="0.3">
      <c r="F51" s="42"/>
      <c r="G51" s="41"/>
      <c r="H51" s="77"/>
      <c r="I51" s="77"/>
      <c r="J51" s="77"/>
    </row>
    <row r="52" spans="6:12" x14ac:dyDescent="0.3">
      <c r="F52" s="42"/>
      <c r="G52" s="41"/>
      <c r="H52" s="77"/>
      <c r="I52" s="77"/>
      <c r="J52" s="77"/>
    </row>
    <row r="53" spans="6:12" x14ac:dyDescent="0.3">
      <c r="F53" s="42"/>
      <c r="G53" s="41"/>
      <c r="H53" s="77"/>
      <c r="I53" s="77"/>
      <c r="J53" s="77"/>
    </row>
    <row r="54" spans="6:12" x14ac:dyDescent="0.3">
      <c r="F54" s="42"/>
      <c r="G54" s="41"/>
      <c r="H54" s="77"/>
      <c r="I54" s="77"/>
      <c r="J54" s="77"/>
    </row>
    <row r="55" spans="6:12" x14ac:dyDescent="0.3">
      <c r="F55" s="42"/>
      <c r="G55" s="41"/>
      <c r="H55" s="77"/>
      <c r="I55" s="77"/>
      <c r="J55" s="77"/>
    </row>
    <row r="62" spans="6:12" x14ac:dyDescent="0.3">
      <c r="F62" s="83"/>
      <c r="G62" s="84"/>
      <c r="H62" s="84"/>
      <c r="I62" s="85"/>
      <c r="J62" s="84"/>
      <c r="K62" s="84"/>
      <c r="L62" s="84"/>
    </row>
    <row r="63" spans="6:12" x14ac:dyDescent="0.3">
      <c r="F63" s="42"/>
      <c r="G63" s="39"/>
      <c r="H63" s="41"/>
      <c r="I63" s="41"/>
      <c r="J63" s="77"/>
      <c r="K63" s="77"/>
      <c r="L63" s="77"/>
    </row>
    <row r="64" spans="6:12" x14ac:dyDescent="0.3">
      <c r="F64" s="42"/>
      <c r="G64" s="39"/>
      <c r="H64" s="41"/>
      <c r="I64" s="41"/>
      <c r="J64" s="77"/>
      <c r="K64" s="77"/>
      <c r="L64" s="77"/>
    </row>
    <row r="65" spans="6:12" x14ac:dyDescent="0.3">
      <c r="F65" s="42"/>
      <c r="G65" s="39"/>
      <c r="H65" s="41"/>
      <c r="I65" s="41"/>
      <c r="J65" s="77"/>
      <c r="K65" s="77"/>
      <c r="L65" s="77"/>
    </row>
    <row r="66" spans="6:12" x14ac:dyDescent="0.3">
      <c r="F66" s="42"/>
      <c r="G66" s="39"/>
      <c r="H66" s="41"/>
      <c r="I66" s="41"/>
      <c r="J66" s="77"/>
      <c r="K66" s="77"/>
      <c r="L66" s="77"/>
    </row>
    <row r="67" spans="6:12" x14ac:dyDescent="0.3">
      <c r="F67" s="42"/>
      <c r="G67" s="39"/>
      <c r="H67" s="41"/>
      <c r="I67" s="41"/>
      <c r="J67" s="77"/>
      <c r="K67" s="77"/>
      <c r="L67" s="77"/>
    </row>
    <row r="68" spans="6:12" x14ac:dyDescent="0.3">
      <c r="F68" s="42"/>
      <c r="G68" s="39"/>
      <c r="H68" s="41"/>
      <c r="I68" s="41"/>
      <c r="J68" s="77"/>
      <c r="K68" s="77"/>
      <c r="L68" s="77"/>
    </row>
    <row r="69" spans="6:12" x14ac:dyDescent="0.3">
      <c r="F69" s="42"/>
      <c r="G69" s="39"/>
      <c r="H69" s="41"/>
      <c r="I69" s="41"/>
      <c r="J69" s="77"/>
      <c r="K69" s="77"/>
      <c r="L69" s="77"/>
    </row>
    <row r="70" spans="6:12" x14ac:dyDescent="0.3">
      <c r="F70" s="42"/>
      <c r="G70" s="39"/>
      <c r="H70" s="41"/>
      <c r="I70" s="41"/>
      <c r="J70" s="77"/>
      <c r="K70" s="77"/>
      <c r="L70" s="77"/>
    </row>
    <row r="71" spans="6:12" x14ac:dyDescent="0.3">
      <c r="F71" s="42"/>
      <c r="G71" s="39"/>
      <c r="H71" s="41"/>
      <c r="I71" s="41"/>
      <c r="J71" s="77"/>
      <c r="K71" s="77"/>
      <c r="L71" s="77"/>
    </row>
    <row r="72" spans="6:12" x14ac:dyDescent="0.3">
      <c r="F72" s="42"/>
      <c r="G72" s="39"/>
      <c r="H72" s="41"/>
      <c r="I72" s="41"/>
      <c r="J72" s="77"/>
      <c r="K72" s="77"/>
      <c r="L72" s="77"/>
    </row>
    <row r="73" spans="6:12" x14ac:dyDescent="0.3">
      <c r="F73" s="42"/>
      <c r="G73" s="39"/>
      <c r="H73" s="41"/>
      <c r="I73" s="41"/>
      <c r="J73" s="77"/>
      <c r="K73" s="77"/>
      <c r="L73" s="77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181AB-8499-4132-AA9F-2BC96A2D96E8}">
  <dimension ref="A1:H99"/>
  <sheetViews>
    <sheetView topLeftCell="A49" workbookViewId="0">
      <selection activeCell="B100" sqref="B100:E107"/>
    </sheetView>
  </sheetViews>
  <sheetFormatPr defaultColWidth="9.1796875" defaultRowHeight="14" x14ac:dyDescent="0.3"/>
  <cols>
    <col min="1" max="1" width="2.1796875" style="23" customWidth="1"/>
    <col min="2" max="2" width="60.1796875" style="23" customWidth="1"/>
    <col min="3" max="3" width="21.54296875" style="23" customWidth="1"/>
    <col min="4" max="4" width="16.36328125" style="23" customWidth="1"/>
    <col min="5" max="5" width="16.08984375" style="23" customWidth="1"/>
    <col min="6" max="6" width="12.08984375" style="23" bestFit="1" customWidth="1"/>
    <col min="7" max="7" width="38.7265625" style="23" bestFit="1" customWidth="1"/>
    <col min="8" max="16384" width="9.1796875" style="23"/>
  </cols>
  <sheetData>
    <row r="1" spans="1:8" ht="15.5" x14ac:dyDescent="0.35">
      <c r="A1" s="21" t="s">
        <v>17</v>
      </c>
      <c r="B1" s="21"/>
      <c r="C1" s="21"/>
      <c r="D1" s="22"/>
    </row>
    <row r="2" spans="1:8" ht="15.5" x14ac:dyDescent="0.35">
      <c r="A2" s="22" t="s">
        <v>18</v>
      </c>
      <c r="B2" s="22"/>
      <c r="C2" s="22"/>
      <c r="D2" s="22"/>
    </row>
    <row r="3" spans="1:8" ht="15.5" x14ac:dyDescent="0.35">
      <c r="A3" s="22" t="s">
        <v>19</v>
      </c>
      <c r="B3" s="22"/>
      <c r="C3" s="22"/>
      <c r="D3" s="22"/>
    </row>
    <row r="4" spans="1:8" ht="15.5" x14ac:dyDescent="0.35">
      <c r="A4" s="22" t="s">
        <v>20</v>
      </c>
      <c r="B4" s="22"/>
      <c r="C4" s="22"/>
      <c r="D4" s="22"/>
    </row>
    <row r="5" spans="1:8" ht="15.5" x14ac:dyDescent="0.35">
      <c r="A5" s="22"/>
      <c r="B5" s="22"/>
      <c r="C5" s="22"/>
      <c r="D5" s="22"/>
    </row>
    <row r="6" spans="1:8" ht="15.5" x14ac:dyDescent="0.35">
      <c r="A6" s="22" t="s">
        <v>21</v>
      </c>
      <c r="B6" s="22"/>
      <c r="C6" s="22"/>
      <c r="D6" s="22"/>
    </row>
    <row r="7" spans="1:8" ht="15.5" x14ac:dyDescent="0.35">
      <c r="A7" s="22"/>
      <c r="B7" s="22"/>
      <c r="C7" s="22" t="s">
        <v>481</v>
      </c>
      <c r="D7" s="22" t="s">
        <v>479</v>
      </c>
      <c r="E7" s="25" t="s">
        <v>477</v>
      </c>
      <c r="F7" s="25" t="s">
        <v>490</v>
      </c>
      <c r="G7" s="25" t="s">
        <v>484</v>
      </c>
    </row>
    <row r="8" spans="1:8" ht="15.5" x14ac:dyDescent="0.35">
      <c r="A8" s="22"/>
      <c r="B8" s="22" t="s">
        <v>456</v>
      </c>
      <c r="C8" s="22">
        <v>1250</v>
      </c>
      <c r="D8" s="22">
        <f>$F$8/$C$8</f>
        <v>1.2</v>
      </c>
      <c r="E8" s="25">
        <f>C8*D8</f>
        <v>1500</v>
      </c>
      <c r="F8" s="25">
        <v>1500</v>
      </c>
      <c r="G8" s="25">
        <f>E8-F8</f>
        <v>0</v>
      </c>
    </row>
    <row r="9" spans="1:8" ht="15.5" x14ac:dyDescent="0.35">
      <c r="A9" s="22"/>
      <c r="B9" s="21" t="s">
        <v>22</v>
      </c>
      <c r="C9" s="24" t="s">
        <v>23</v>
      </c>
      <c r="D9" s="24"/>
      <c r="E9" s="24" t="s">
        <v>23</v>
      </c>
      <c r="F9" s="24" t="s">
        <v>23</v>
      </c>
      <c r="G9" s="24" t="s">
        <v>23</v>
      </c>
    </row>
    <row r="10" spans="1:8" ht="15.5" x14ac:dyDescent="0.35">
      <c r="A10" s="22"/>
      <c r="B10" s="22" t="s">
        <v>24</v>
      </c>
      <c r="C10" s="26">
        <v>27000</v>
      </c>
      <c r="D10" s="22">
        <f>$F$8/$C$8</f>
        <v>1.2</v>
      </c>
      <c r="E10" s="145">
        <f t="shared" ref="E10:E14" si="0">C10*D10</f>
        <v>32400</v>
      </c>
      <c r="F10" s="145">
        <f>C19</f>
        <v>32000</v>
      </c>
      <c r="G10" s="145">
        <f t="shared" ref="G10:G15" si="1">E10-F10</f>
        <v>400</v>
      </c>
      <c r="H10" s="23" t="str">
        <f>IF(G10&lt;0,"Adverse","Favourable")</f>
        <v>Favourable</v>
      </c>
    </row>
    <row r="11" spans="1:8" ht="15.5" x14ac:dyDescent="0.35">
      <c r="A11" s="22"/>
      <c r="B11" s="22" t="s">
        <v>25</v>
      </c>
      <c r="C11" s="26">
        <v>25000</v>
      </c>
      <c r="D11" s="22">
        <f>$F$8/$C$8</f>
        <v>1.2</v>
      </c>
      <c r="E11" s="145">
        <f t="shared" si="0"/>
        <v>30000</v>
      </c>
      <c r="F11" s="145">
        <f t="shared" ref="F11:F15" si="2">C20</f>
        <v>25000</v>
      </c>
      <c r="G11" s="145">
        <f t="shared" si="1"/>
        <v>5000</v>
      </c>
      <c r="H11" s="23" t="str">
        <f t="shared" ref="H11:H15" si="3">IF(G11&lt;0,"Adverse","Favourable")</f>
        <v>Favourable</v>
      </c>
    </row>
    <row r="12" spans="1:8" ht="15.5" x14ac:dyDescent="0.35">
      <c r="A12" s="22"/>
      <c r="B12" s="22" t="s">
        <v>26</v>
      </c>
      <c r="C12" s="26">
        <v>12500</v>
      </c>
      <c r="D12" s="22">
        <f>$F$8/$C$8</f>
        <v>1.2</v>
      </c>
      <c r="E12" s="145">
        <f t="shared" si="0"/>
        <v>15000</v>
      </c>
      <c r="F12" s="145">
        <f t="shared" si="2"/>
        <v>18000</v>
      </c>
      <c r="G12" s="145">
        <f t="shared" si="1"/>
        <v>-3000</v>
      </c>
      <c r="H12" s="23" t="str">
        <f t="shared" si="3"/>
        <v>Adverse</v>
      </c>
    </row>
    <row r="13" spans="1:8" ht="15.5" x14ac:dyDescent="0.35">
      <c r="A13" s="22"/>
      <c r="B13" s="22" t="s">
        <v>27</v>
      </c>
      <c r="C13" s="26">
        <v>75000</v>
      </c>
      <c r="D13" s="22"/>
      <c r="E13" s="145">
        <f>C13</f>
        <v>75000</v>
      </c>
      <c r="F13" s="145">
        <f t="shared" si="2"/>
        <v>75000</v>
      </c>
      <c r="G13" s="145">
        <f t="shared" si="1"/>
        <v>0</v>
      </c>
      <c r="H13" s="23" t="str">
        <f t="shared" si="3"/>
        <v>Favourable</v>
      </c>
    </row>
    <row r="14" spans="1:8" ht="15.5" x14ac:dyDescent="0.35">
      <c r="A14" s="22"/>
      <c r="B14" s="22" t="s">
        <v>28</v>
      </c>
      <c r="C14" s="26">
        <v>18000</v>
      </c>
      <c r="D14" s="22">
        <f>$F$8/$C$8</f>
        <v>1.2</v>
      </c>
      <c r="E14" s="145">
        <f t="shared" si="0"/>
        <v>21600</v>
      </c>
      <c r="F14" s="145">
        <f t="shared" si="2"/>
        <v>20000</v>
      </c>
      <c r="G14" s="145">
        <f t="shared" si="1"/>
        <v>1600</v>
      </c>
      <c r="H14" s="23" t="str">
        <f t="shared" si="3"/>
        <v>Favourable</v>
      </c>
    </row>
    <row r="15" spans="1:8" ht="17" x14ac:dyDescent="0.5">
      <c r="A15" s="22"/>
      <c r="B15" s="22" t="s">
        <v>29</v>
      </c>
      <c r="C15" s="28">
        <v>65000</v>
      </c>
      <c r="D15" s="22"/>
      <c r="E15" s="145">
        <f>C15</f>
        <v>65000</v>
      </c>
      <c r="F15" s="145">
        <f t="shared" si="2"/>
        <v>65000</v>
      </c>
      <c r="G15" s="145">
        <f t="shared" si="1"/>
        <v>0</v>
      </c>
      <c r="H15" s="23" t="str">
        <f t="shared" si="3"/>
        <v>Favourable</v>
      </c>
    </row>
    <row r="16" spans="1:8" ht="18" x14ac:dyDescent="0.6">
      <c r="A16" s="22"/>
      <c r="B16" s="21" t="s">
        <v>30</v>
      </c>
      <c r="C16" s="29">
        <f>SUM(C10:C15)</f>
        <v>222500</v>
      </c>
      <c r="D16" s="29"/>
      <c r="E16" s="146">
        <f t="shared" ref="E16:F16" si="4">SUM(E10:E15)</f>
        <v>239000</v>
      </c>
      <c r="F16" s="146">
        <f t="shared" si="4"/>
        <v>235000</v>
      </c>
      <c r="G16" s="146">
        <f>SUM(G10:G15)</f>
        <v>4000</v>
      </c>
    </row>
    <row r="17" spans="1:6" ht="15.5" x14ac:dyDescent="0.35">
      <c r="A17" s="22"/>
      <c r="B17" s="22"/>
      <c r="C17" s="22"/>
      <c r="D17" s="22"/>
    </row>
    <row r="18" spans="1:6" ht="15.5" x14ac:dyDescent="0.35">
      <c r="A18" s="22"/>
      <c r="B18" s="21" t="s">
        <v>31</v>
      </c>
      <c r="C18" s="22"/>
      <c r="D18" s="22"/>
    </row>
    <row r="19" spans="1:6" ht="15.5" x14ac:dyDescent="0.35">
      <c r="A19" s="22"/>
      <c r="B19" s="22" t="s">
        <v>24</v>
      </c>
      <c r="C19" s="27">
        <v>32000</v>
      </c>
      <c r="D19" s="22"/>
      <c r="F19" s="23">
        <v>239000</v>
      </c>
    </row>
    <row r="20" spans="1:6" ht="15.5" x14ac:dyDescent="0.35">
      <c r="A20" s="22"/>
      <c r="B20" s="22" t="s">
        <v>25</v>
      </c>
      <c r="C20" s="27">
        <v>25000</v>
      </c>
      <c r="D20" s="22"/>
    </row>
    <row r="21" spans="1:6" ht="15.5" x14ac:dyDescent="0.35">
      <c r="A21" s="22"/>
      <c r="B21" s="22" t="s">
        <v>26</v>
      </c>
      <c r="C21" s="27">
        <v>18000</v>
      </c>
      <c r="D21" s="22"/>
    </row>
    <row r="22" spans="1:6" ht="15.5" x14ac:dyDescent="0.35">
      <c r="A22" s="22"/>
      <c r="B22" s="22" t="s">
        <v>27</v>
      </c>
      <c r="C22" s="27">
        <v>75000</v>
      </c>
      <c r="D22" s="22"/>
    </row>
    <row r="23" spans="1:6" ht="15.5" x14ac:dyDescent="0.35">
      <c r="A23" s="22"/>
      <c r="B23" s="22" t="s">
        <v>28</v>
      </c>
      <c r="C23" s="27">
        <v>20000</v>
      </c>
      <c r="D23" s="22"/>
    </row>
    <row r="24" spans="1:6" ht="15.5" x14ac:dyDescent="0.35">
      <c r="A24" s="22"/>
      <c r="B24" s="22" t="s">
        <v>29</v>
      </c>
      <c r="C24" s="30">
        <v>65000</v>
      </c>
      <c r="D24" s="22"/>
    </row>
    <row r="25" spans="1:6" ht="15.5" x14ac:dyDescent="0.35">
      <c r="A25" s="22"/>
      <c r="B25" s="21" t="s">
        <v>30</v>
      </c>
      <c r="C25" s="31">
        <f>SUM(C19:C24)</f>
        <v>235000</v>
      </c>
      <c r="D25" s="22"/>
    </row>
    <row r="26" spans="1:6" ht="15.5" x14ac:dyDescent="0.35">
      <c r="A26" s="22"/>
      <c r="B26" s="22"/>
      <c r="C26" s="22"/>
      <c r="D26" s="22"/>
    </row>
    <row r="27" spans="1:6" ht="15.5" x14ac:dyDescent="0.35">
      <c r="A27" s="21" t="s">
        <v>32</v>
      </c>
      <c r="B27" s="22"/>
      <c r="C27" s="22"/>
      <c r="D27" s="22"/>
    </row>
    <row r="28" spans="1:6" ht="15.5" x14ac:dyDescent="0.35">
      <c r="A28" s="22" t="s">
        <v>33</v>
      </c>
      <c r="B28" s="22"/>
      <c r="C28" s="22"/>
      <c r="D28" s="22"/>
    </row>
    <row r="29" spans="1:6" ht="15.5" x14ac:dyDescent="0.35">
      <c r="A29" s="22" t="s">
        <v>34</v>
      </c>
      <c r="B29" s="22"/>
      <c r="C29" s="22"/>
      <c r="D29" s="22"/>
    </row>
    <row r="30" spans="1:6" ht="15.5" x14ac:dyDescent="0.35">
      <c r="A30" s="22" t="s">
        <v>35</v>
      </c>
      <c r="B30" s="22"/>
      <c r="C30" s="22"/>
      <c r="D30" s="22"/>
    </row>
    <row r="31" spans="1:6" ht="15.5" x14ac:dyDescent="0.35">
      <c r="A31" s="22" t="s">
        <v>36</v>
      </c>
      <c r="B31" s="22"/>
      <c r="C31" s="22"/>
      <c r="D31" s="22"/>
    </row>
    <row r="32" spans="1:6" ht="15.5" x14ac:dyDescent="0.35">
      <c r="A32" s="22" t="s">
        <v>37</v>
      </c>
      <c r="B32" s="22"/>
      <c r="C32" s="22"/>
      <c r="D32" s="22"/>
    </row>
    <row r="33" spans="1:6" ht="15.5" x14ac:dyDescent="0.35">
      <c r="A33" s="22"/>
      <c r="B33" s="22"/>
      <c r="C33" s="22"/>
      <c r="D33" s="22"/>
    </row>
    <row r="34" spans="1:6" ht="15.5" x14ac:dyDescent="0.35">
      <c r="A34" s="21" t="s">
        <v>0</v>
      </c>
      <c r="B34" s="22"/>
      <c r="C34" s="22"/>
      <c r="D34" s="22"/>
    </row>
    <row r="35" spans="1:6" ht="15.5" x14ac:dyDescent="0.35">
      <c r="A35" s="22" t="s">
        <v>38</v>
      </c>
      <c r="B35" s="22"/>
      <c r="C35" s="22"/>
      <c r="D35" s="22"/>
    </row>
    <row r="36" spans="1:6" ht="15.5" x14ac:dyDescent="0.35">
      <c r="A36" s="22"/>
      <c r="B36" s="22"/>
      <c r="C36" s="22"/>
      <c r="D36" s="22"/>
    </row>
    <row r="37" spans="1:6" ht="15.5" x14ac:dyDescent="0.35">
      <c r="A37" s="22" t="s">
        <v>39</v>
      </c>
      <c r="B37" s="22"/>
      <c r="C37" s="22"/>
      <c r="D37" s="22"/>
    </row>
    <row r="38" spans="1:6" ht="15.5" x14ac:dyDescent="0.35">
      <c r="A38" s="22"/>
      <c r="B38" s="22"/>
      <c r="C38" s="22"/>
      <c r="D38" s="22"/>
    </row>
    <row r="39" spans="1:6" ht="15.5" x14ac:dyDescent="0.35">
      <c r="A39" s="22" t="s">
        <v>40</v>
      </c>
      <c r="B39" s="22"/>
      <c r="C39" s="22"/>
      <c r="D39" s="22"/>
    </row>
    <row r="40" spans="1:6" ht="15.5" x14ac:dyDescent="0.35">
      <c r="A40" s="22"/>
      <c r="B40" s="22"/>
      <c r="C40" s="22"/>
      <c r="D40" s="22"/>
    </row>
    <row r="41" spans="1:6" ht="15.5" x14ac:dyDescent="0.35">
      <c r="A41" s="22" t="s">
        <v>41</v>
      </c>
      <c r="B41" s="22"/>
      <c r="C41" s="22"/>
      <c r="D41" s="22"/>
    </row>
    <row r="45" spans="1:6" x14ac:dyDescent="0.3">
      <c r="B45" s="23" t="s">
        <v>493</v>
      </c>
      <c r="C45" s="25" t="s">
        <v>491</v>
      </c>
      <c r="D45" s="25" t="s">
        <v>492</v>
      </c>
    </row>
    <row r="46" spans="1:6" x14ac:dyDescent="0.3">
      <c r="B46" s="23" t="str">
        <f>B10</f>
        <v>Direct materials</v>
      </c>
      <c r="C46" s="144">
        <f>(C10*1000)/1250</f>
        <v>21600</v>
      </c>
      <c r="D46" s="144">
        <f>(C10*1000)/1250</f>
        <v>21600</v>
      </c>
      <c r="F46" s="144"/>
    </row>
    <row r="47" spans="1:6" x14ac:dyDescent="0.3">
      <c r="B47" s="23" t="str">
        <f t="shared" ref="B47:B49" si="5">B11</f>
        <v>Direct labour</v>
      </c>
      <c r="C47" s="144">
        <f t="shared" ref="C47:C48" si="6">(C11*1000)/1250</f>
        <v>20000</v>
      </c>
      <c r="D47" s="144">
        <f t="shared" ref="D47:D49" si="7">(C11*1000)/1250</f>
        <v>20000</v>
      </c>
    </row>
    <row r="48" spans="1:6" x14ac:dyDescent="0.3">
      <c r="B48" s="23" t="str">
        <f t="shared" si="5"/>
        <v>Variable manufacturing overhead</v>
      </c>
      <c r="C48" s="144">
        <f t="shared" si="6"/>
        <v>10000</v>
      </c>
      <c r="D48" s="144">
        <f t="shared" si="7"/>
        <v>10000</v>
      </c>
    </row>
    <row r="49" spans="2:5" x14ac:dyDescent="0.3">
      <c r="B49" s="23" t="str">
        <f t="shared" si="5"/>
        <v>Fixed manufacturing overhead</v>
      </c>
      <c r="C49" s="144"/>
      <c r="D49" s="144">
        <f t="shared" si="7"/>
        <v>60000</v>
      </c>
    </row>
    <row r="50" spans="2:5" x14ac:dyDescent="0.3">
      <c r="B50" s="23" t="str">
        <f>B16</f>
        <v>Total manufacturing costs</v>
      </c>
      <c r="C50" s="144">
        <f>SUM(C46:C49)</f>
        <v>51600</v>
      </c>
      <c r="D50" s="144">
        <f>SUM(D46:D49)</f>
        <v>111600</v>
      </c>
    </row>
    <row r="52" spans="2:5" x14ac:dyDescent="0.3">
      <c r="B52" s="23" t="s">
        <v>494</v>
      </c>
      <c r="C52" s="23">
        <v>1000</v>
      </c>
      <c r="D52" s="23">
        <v>2000</v>
      </c>
      <c r="E52" s="23">
        <v>2500</v>
      </c>
    </row>
    <row r="53" spans="2:5" x14ac:dyDescent="0.3">
      <c r="B53" s="23" t="s">
        <v>496</v>
      </c>
      <c r="C53" s="23">
        <v>850</v>
      </c>
      <c r="D53" s="23">
        <f t="shared" ref="D53:E53" si="8">80%*D52</f>
        <v>1600</v>
      </c>
      <c r="E53" s="23">
        <f t="shared" si="8"/>
        <v>2000</v>
      </c>
    </row>
    <row r="54" spans="2:5" x14ac:dyDescent="0.3">
      <c r="B54" s="23" t="s">
        <v>497</v>
      </c>
      <c r="C54" s="23">
        <v>150</v>
      </c>
      <c r="D54" s="23">
        <f t="shared" ref="D54:E54" si="9">D52-D53</f>
        <v>400</v>
      </c>
      <c r="E54" s="23">
        <f t="shared" si="9"/>
        <v>500</v>
      </c>
    </row>
    <row r="55" spans="2:5" x14ac:dyDescent="0.3">
      <c r="B55" s="23" t="s">
        <v>499</v>
      </c>
      <c r="C55" s="23">
        <v>230000</v>
      </c>
      <c r="D55" s="23">
        <v>230000</v>
      </c>
      <c r="E55" s="23">
        <v>230000</v>
      </c>
    </row>
    <row r="58" spans="2:5" x14ac:dyDescent="0.3">
      <c r="B58" s="23" t="s">
        <v>498</v>
      </c>
    </row>
    <row r="59" spans="2:5" x14ac:dyDescent="0.3">
      <c r="C59" s="23" t="s">
        <v>504</v>
      </c>
    </row>
    <row r="62" spans="2:5" x14ac:dyDescent="0.3">
      <c r="B62" s="23" t="s">
        <v>495</v>
      </c>
      <c r="C62" s="23">
        <f>C53*C55</f>
        <v>195500000</v>
      </c>
      <c r="D62" s="23">
        <f t="shared" ref="D62:E62" si="10">D53*D55</f>
        <v>368000000</v>
      </c>
      <c r="E62" s="23">
        <f t="shared" si="10"/>
        <v>460000000</v>
      </c>
    </row>
    <row r="63" spans="2:5" x14ac:dyDescent="0.3">
      <c r="B63" s="23" t="s">
        <v>500</v>
      </c>
    </row>
    <row r="64" spans="2:5" x14ac:dyDescent="0.3">
      <c r="B64" s="23" t="s">
        <v>501</v>
      </c>
      <c r="C64" s="23">
        <v>0</v>
      </c>
      <c r="D64" s="23">
        <v>0</v>
      </c>
      <c r="E64" s="23">
        <v>0</v>
      </c>
    </row>
    <row r="65" spans="2:5" x14ac:dyDescent="0.3">
      <c r="B65" s="23" t="s">
        <v>502</v>
      </c>
      <c r="C65" s="144">
        <f>C52*$C$50</f>
        <v>51600000</v>
      </c>
      <c r="D65" s="144">
        <f t="shared" ref="D65" si="11">D52*$C$50</f>
        <v>103200000</v>
      </c>
      <c r="E65" s="144">
        <f>E52*$C$50</f>
        <v>129000000</v>
      </c>
    </row>
    <row r="66" spans="2:5" x14ac:dyDescent="0.3">
      <c r="B66" s="23" t="s">
        <v>503</v>
      </c>
      <c r="C66" s="144">
        <f>-C54*$C$50</f>
        <v>-7740000</v>
      </c>
      <c r="D66" s="144">
        <f t="shared" ref="D66:E66" si="12">-D54*$C$50</f>
        <v>-20640000</v>
      </c>
      <c r="E66" s="144">
        <f t="shared" si="12"/>
        <v>-25800000</v>
      </c>
    </row>
    <row r="67" spans="2:5" x14ac:dyDescent="0.3">
      <c r="B67" s="23" t="s">
        <v>500</v>
      </c>
      <c r="C67" s="144">
        <f>C64+C65+C66</f>
        <v>43860000</v>
      </c>
      <c r="D67" s="144">
        <f t="shared" ref="D67:E67" si="13">D64+D65+D66</f>
        <v>82560000</v>
      </c>
      <c r="E67" s="144">
        <f t="shared" si="13"/>
        <v>103200000</v>
      </c>
    </row>
    <row r="68" spans="2:5" x14ac:dyDescent="0.3">
      <c r="B68" s="23" t="s">
        <v>505</v>
      </c>
      <c r="C68" s="144">
        <f>C62-C67</f>
        <v>151640000</v>
      </c>
      <c r="D68" s="144">
        <f t="shared" ref="D68:E68" si="14">D62-D67</f>
        <v>285440000</v>
      </c>
      <c r="E68" s="144">
        <f t="shared" si="14"/>
        <v>356800000</v>
      </c>
    </row>
    <row r="69" spans="2:5" ht="15.5" x14ac:dyDescent="0.35">
      <c r="B69" s="22" t="s">
        <v>28</v>
      </c>
      <c r="C69" s="144">
        <f>(($C$14*1000)/1250)*C53</f>
        <v>12240000</v>
      </c>
      <c r="D69" s="144">
        <f t="shared" ref="D69:E69" si="15">(($C$14*1000)/1250)*D53</f>
        <v>23040000</v>
      </c>
      <c r="E69" s="144">
        <f t="shared" si="15"/>
        <v>28800000</v>
      </c>
    </row>
    <row r="70" spans="2:5" x14ac:dyDescent="0.3">
      <c r="B70" s="23" t="s">
        <v>408</v>
      </c>
      <c r="C70" s="144">
        <f>C68-C69</f>
        <v>139400000</v>
      </c>
      <c r="D70" s="144">
        <f t="shared" ref="D70:E70" si="16">D68-D69</f>
        <v>262400000</v>
      </c>
      <c r="E70" s="144">
        <f t="shared" si="16"/>
        <v>328000000</v>
      </c>
    </row>
    <row r="71" spans="2:5" x14ac:dyDescent="0.3">
      <c r="B71" s="23" t="s">
        <v>506</v>
      </c>
    </row>
    <row r="72" spans="2:5" ht="15.5" x14ac:dyDescent="0.35">
      <c r="B72" s="22" t="s">
        <v>27</v>
      </c>
      <c r="C72" s="26">
        <v>75000000</v>
      </c>
      <c r="D72" s="26">
        <v>75000000</v>
      </c>
      <c r="E72" s="26">
        <v>75000000</v>
      </c>
    </row>
    <row r="73" spans="2:5" ht="17" x14ac:dyDescent="0.5">
      <c r="B73" s="22" t="s">
        <v>29</v>
      </c>
      <c r="C73" s="28">
        <v>65000000</v>
      </c>
      <c r="D73" s="28">
        <v>65000000</v>
      </c>
      <c r="E73" s="28">
        <v>65000000</v>
      </c>
    </row>
    <row r="74" spans="2:5" x14ac:dyDescent="0.3">
      <c r="B74" s="23" t="s">
        <v>507</v>
      </c>
      <c r="C74" s="144">
        <f>C70-C72-C73</f>
        <v>-600000</v>
      </c>
      <c r="D74" s="144">
        <f t="shared" ref="D74:E74" si="17">D70-D72-D73</f>
        <v>122400000</v>
      </c>
      <c r="E74" s="144">
        <f t="shared" si="17"/>
        <v>188000000</v>
      </c>
    </row>
    <row r="75" spans="2:5" x14ac:dyDescent="0.3">
      <c r="B75" s="23" t="s">
        <v>508</v>
      </c>
      <c r="C75" s="144">
        <f>30%*C74</f>
        <v>-180000</v>
      </c>
      <c r="D75" s="144">
        <f t="shared" ref="D75:E75" si="18">30%*D74</f>
        <v>36720000</v>
      </c>
      <c r="E75" s="144">
        <f t="shared" si="18"/>
        <v>56400000</v>
      </c>
    </row>
    <row r="76" spans="2:5" x14ac:dyDescent="0.3">
      <c r="B76" s="23" t="s">
        <v>464</v>
      </c>
      <c r="C76" s="144">
        <f>C74-C75</f>
        <v>-420000</v>
      </c>
      <c r="D76" s="144">
        <f t="shared" ref="D76:E76" si="19">D74-D75</f>
        <v>85680000</v>
      </c>
      <c r="E76" s="144">
        <f t="shared" si="19"/>
        <v>131600000</v>
      </c>
    </row>
    <row r="80" spans="2:5" x14ac:dyDescent="0.3">
      <c r="B80" s="23" t="s">
        <v>509</v>
      </c>
    </row>
    <row r="83" spans="2:5" x14ac:dyDescent="0.3">
      <c r="B83" s="23" t="s">
        <v>495</v>
      </c>
      <c r="C83" s="23">
        <f>C55*C53</f>
        <v>195500000</v>
      </c>
      <c r="D83" s="23">
        <f t="shared" ref="D83:E83" si="20">D55*D53</f>
        <v>368000000</v>
      </c>
      <c r="E83" s="23">
        <f t="shared" si="20"/>
        <v>460000000</v>
      </c>
    </row>
    <row r="84" spans="2:5" x14ac:dyDescent="0.3">
      <c r="B84" s="23" t="s">
        <v>500</v>
      </c>
    </row>
    <row r="85" spans="2:5" x14ac:dyDescent="0.3">
      <c r="B85" s="23" t="s">
        <v>501</v>
      </c>
      <c r="C85" s="23">
        <v>0</v>
      </c>
      <c r="D85" s="23">
        <v>0</v>
      </c>
      <c r="E85" s="23">
        <v>0</v>
      </c>
    </row>
    <row r="86" spans="2:5" x14ac:dyDescent="0.3">
      <c r="B86" s="23" t="s">
        <v>502</v>
      </c>
      <c r="C86" s="144">
        <f>$D$50*C52</f>
        <v>111600000</v>
      </c>
      <c r="D86" s="144">
        <f>$D$50*D52</f>
        <v>223200000</v>
      </c>
      <c r="E86" s="144">
        <f>$D$50*E52</f>
        <v>279000000</v>
      </c>
    </row>
    <row r="87" spans="2:5" x14ac:dyDescent="0.3">
      <c r="B87" s="23" t="s">
        <v>503</v>
      </c>
      <c r="C87" s="144">
        <f>C54*$D$50</f>
        <v>16740000</v>
      </c>
      <c r="D87" s="144">
        <f t="shared" ref="D87:E87" si="21">D54*$D$50</f>
        <v>44640000</v>
      </c>
      <c r="E87" s="144">
        <f t="shared" si="21"/>
        <v>55800000</v>
      </c>
    </row>
    <row r="88" spans="2:5" x14ac:dyDescent="0.3">
      <c r="B88" s="23" t="s">
        <v>500</v>
      </c>
      <c r="C88" s="144">
        <f>C85+C86-C87</f>
        <v>94860000</v>
      </c>
      <c r="D88" s="144">
        <f t="shared" ref="D88:E88" si="22">D85+D86-D87</f>
        <v>178560000</v>
      </c>
      <c r="E88" s="144">
        <f t="shared" si="22"/>
        <v>223200000</v>
      </c>
    </row>
    <row r="89" spans="2:5" x14ac:dyDescent="0.3">
      <c r="B89" s="25" t="s">
        <v>510</v>
      </c>
      <c r="C89" s="43">
        <f>C83-C88</f>
        <v>100640000</v>
      </c>
      <c r="D89" s="43">
        <f t="shared" ref="D89:E89" si="23">D83-D88</f>
        <v>189440000</v>
      </c>
      <c r="E89" s="43">
        <f t="shared" si="23"/>
        <v>236800000</v>
      </c>
    </row>
    <row r="91" spans="2:5" x14ac:dyDescent="0.3">
      <c r="B91" s="23" t="s">
        <v>511</v>
      </c>
      <c r="C91" s="144">
        <f>$C$13*1000</f>
        <v>75000000</v>
      </c>
      <c r="D91" s="144">
        <f t="shared" ref="D91:E91" si="24">$C$13*1000</f>
        <v>75000000</v>
      </c>
      <c r="E91" s="144">
        <f t="shared" si="24"/>
        <v>75000000</v>
      </c>
    </row>
    <row r="92" spans="2:5" x14ac:dyDescent="0.3">
      <c r="B92" s="23" t="s">
        <v>512</v>
      </c>
      <c r="C92" s="144">
        <f>$D$50*C52</f>
        <v>111600000</v>
      </c>
      <c r="D92" s="144">
        <f t="shared" ref="D92:E92" si="25">$D$50*D52</f>
        <v>223200000</v>
      </c>
      <c r="E92" s="144">
        <f t="shared" si="25"/>
        <v>279000000</v>
      </c>
    </row>
    <row r="93" spans="2:5" x14ac:dyDescent="0.3">
      <c r="B93" s="23" t="s">
        <v>513</v>
      </c>
      <c r="C93" s="144">
        <f>C92-C91</f>
        <v>36600000</v>
      </c>
      <c r="D93" s="144">
        <f t="shared" ref="D93:E93" si="26">D92-D91</f>
        <v>148200000</v>
      </c>
      <c r="E93" s="144">
        <f t="shared" si="26"/>
        <v>204000000</v>
      </c>
    </row>
    <row r="94" spans="2:5" x14ac:dyDescent="0.3">
      <c r="B94" s="25" t="s">
        <v>514</v>
      </c>
      <c r="C94" s="43">
        <f>C89</f>
        <v>100640000</v>
      </c>
      <c r="D94" s="43">
        <f t="shared" ref="D94:E94" si="27">D89</f>
        <v>189440000</v>
      </c>
      <c r="E94" s="43">
        <f t="shared" si="27"/>
        <v>236800000</v>
      </c>
    </row>
    <row r="95" spans="2:5" ht="15.5" x14ac:dyDescent="0.35">
      <c r="B95" s="22" t="s">
        <v>28</v>
      </c>
      <c r="C95" s="144">
        <f>C53*($C$14/1250)*1000</f>
        <v>12240000</v>
      </c>
      <c r="D95" s="144">
        <f t="shared" ref="D95:E95" si="28">D53*($C$14/1250)*1000</f>
        <v>23040000</v>
      </c>
      <c r="E95" s="144">
        <f t="shared" si="28"/>
        <v>28800000</v>
      </c>
    </row>
    <row r="96" spans="2:5" ht="15.5" x14ac:dyDescent="0.35">
      <c r="B96" s="22" t="s">
        <v>29</v>
      </c>
      <c r="C96" s="150">
        <f>$C$24*1000</f>
        <v>65000000</v>
      </c>
      <c r="D96" s="150">
        <f t="shared" ref="D96:E96" si="29">$C$24*1000</f>
        <v>65000000</v>
      </c>
      <c r="E96" s="150">
        <f t="shared" si="29"/>
        <v>65000000</v>
      </c>
    </row>
    <row r="97" spans="2:5" x14ac:dyDescent="0.3">
      <c r="B97" s="25" t="s">
        <v>507</v>
      </c>
      <c r="C97" s="43">
        <f>C94-C95-C96</f>
        <v>23400000</v>
      </c>
      <c r="D97" s="43">
        <f t="shared" ref="D97:E97" si="30">D94-D95-D96</f>
        <v>101400000</v>
      </c>
      <c r="E97" s="43">
        <f t="shared" si="30"/>
        <v>143000000</v>
      </c>
    </row>
    <row r="98" spans="2:5" x14ac:dyDescent="0.3">
      <c r="B98" s="23" t="s">
        <v>515</v>
      </c>
      <c r="C98" s="144">
        <f>30%*C97</f>
        <v>7020000</v>
      </c>
      <c r="D98" s="144">
        <f t="shared" ref="D98:E98" si="31">30%*D97</f>
        <v>30420000</v>
      </c>
      <c r="E98" s="144">
        <f t="shared" si="31"/>
        <v>42900000</v>
      </c>
    </row>
    <row r="99" spans="2:5" ht="15" x14ac:dyDescent="0.3">
      <c r="B99" s="21" t="s">
        <v>464</v>
      </c>
      <c r="C99" s="43">
        <f>C97-C98</f>
        <v>16380000</v>
      </c>
      <c r="D99" s="43">
        <f t="shared" ref="D99:E99" si="32">D97-D98</f>
        <v>70980000</v>
      </c>
      <c r="E99" s="43">
        <f t="shared" si="32"/>
        <v>100100000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F8B7-DB32-46F0-8293-11834A85CDC1}">
  <dimension ref="A1:H133"/>
  <sheetViews>
    <sheetView topLeftCell="A89" workbookViewId="0">
      <selection activeCell="D54" sqref="D54"/>
    </sheetView>
  </sheetViews>
  <sheetFormatPr defaultColWidth="9.1796875" defaultRowHeight="14" x14ac:dyDescent="0.3"/>
  <cols>
    <col min="1" max="1" width="2.1796875" style="23" customWidth="1"/>
    <col min="2" max="2" width="60.1796875" style="23" customWidth="1"/>
    <col min="3" max="3" width="31.81640625" style="23" customWidth="1"/>
    <col min="4" max="4" width="21.81640625" style="23" customWidth="1"/>
    <col min="5" max="5" width="19.54296875" style="23" customWidth="1"/>
    <col min="6" max="6" width="12.08984375" style="23" bestFit="1" customWidth="1"/>
    <col min="7" max="7" width="10.6328125" style="23" customWidth="1"/>
    <col min="8" max="16384" width="9.1796875" style="23"/>
  </cols>
  <sheetData>
    <row r="1" spans="1:8" ht="15.5" x14ac:dyDescent="0.35">
      <c r="A1" s="21" t="s">
        <v>17</v>
      </c>
      <c r="B1" s="21"/>
      <c r="C1" s="21"/>
      <c r="D1" s="22"/>
    </row>
    <row r="2" spans="1:8" ht="15.5" x14ac:dyDescent="0.35">
      <c r="A2" s="22" t="s">
        <v>18</v>
      </c>
      <c r="B2" s="22"/>
      <c r="C2" s="22"/>
      <c r="D2" s="22"/>
    </row>
    <row r="3" spans="1:8" ht="15.5" x14ac:dyDescent="0.35">
      <c r="A3" s="22" t="s">
        <v>19</v>
      </c>
      <c r="B3" s="22"/>
      <c r="C3" s="22"/>
      <c r="D3" s="22"/>
    </row>
    <row r="4" spans="1:8" ht="15.5" x14ac:dyDescent="0.35">
      <c r="A4" s="22" t="s">
        <v>20</v>
      </c>
      <c r="B4" s="22"/>
      <c r="C4" s="22"/>
      <c r="D4" s="22"/>
    </row>
    <row r="5" spans="1:8" ht="15.5" x14ac:dyDescent="0.35">
      <c r="A5" s="22"/>
      <c r="B5" s="22"/>
      <c r="C5" s="22"/>
      <c r="D5" s="22"/>
    </row>
    <row r="6" spans="1:8" ht="15.5" x14ac:dyDescent="0.35">
      <c r="A6" s="22" t="s">
        <v>21</v>
      </c>
      <c r="B6" s="22"/>
      <c r="C6" s="22"/>
      <c r="D6" s="22"/>
    </row>
    <row r="7" spans="1:8" ht="15.5" x14ac:dyDescent="0.35">
      <c r="A7" s="22"/>
      <c r="B7" s="22"/>
      <c r="C7" s="22" t="s">
        <v>481</v>
      </c>
      <c r="D7" s="22" t="s">
        <v>479</v>
      </c>
      <c r="E7" s="25" t="s">
        <v>477</v>
      </c>
      <c r="F7" s="25" t="s">
        <v>490</v>
      </c>
      <c r="G7" s="25" t="s">
        <v>484</v>
      </c>
    </row>
    <row r="8" spans="1:8" ht="15.5" x14ac:dyDescent="0.35">
      <c r="A8" s="22"/>
      <c r="B8" s="22" t="s">
        <v>456</v>
      </c>
      <c r="C8" s="22">
        <v>1250</v>
      </c>
      <c r="D8" s="22">
        <f>$F$8/$C$8</f>
        <v>1.2</v>
      </c>
      <c r="E8" s="25">
        <f>C8*D8</f>
        <v>1500</v>
      </c>
      <c r="F8" s="25">
        <v>1500</v>
      </c>
      <c r="G8" s="25">
        <f>E8-F8</f>
        <v>0</v>
      </c>
    </row>
    <row r="9" spans="1:8" ht="15.5" x14ac:dyDescent="0.35">
      <c r="A9" s="22"/>
      <c r="B9" s="21" t="s">
        <v>22</v>
      </c>
      <c r="C9" s="24" t="s">
        <v>23</v>
      </c>
      <c r="D9" s="24"/>
      <c r="E9" s="24" t="s">
        <v>23</v>
      </c>
      <c r="F9" s="24" t="s">
        <v>23</v>
      </c>
      <c r="G9" s="24" t="s">
        <v>23</v>
      </c>
    </row>
    <row r="10" spans="1:8" ht="15.5" x14ac:dyDescent="0.35">
      <c r="A10" s="22"/>
      <c r="B10" s="22" t="s">
        <v>24</v>
      </c>
      <c r="C10" s="26">
        <v>27000</v>
      </c>
      <c r="D10" s="22">
        <f>$F$8/$C$8</f>
        <v>1.2</v>
      </c>
      <c r="E10" s="145">
        <f t="shared" ref="E10:E14" si="0">C10*D10</f>
        <v>32400</v>
      </c>
      <c r="F10" s="145">
        <f>C19</f>
        <v>32000</v>
      </c>
      <c r="G10" s="145">
        <f t="shared" ref="G10:G15" si="1">E10-F10</f>
        <v>400</v>
      </c>
      <c r="H10" s="23" t="str">
        <f>IF(G10&lt;0,"Adverse","Favourable")</f>
        <v>Favourable</v>
      </c>
    </row>
    <row r="11" spans="1:8" ht="15.5" x14ac:dyDescent="0.35">
      <c r="A11" s="22"/>
      <c r="B11" s="22" t="s">
        <v>25</v>
      </c>
      <c r="C11" s="26">
        <v>25000</v>
      </c>
      <c r="D11" s="22">
        <f>$F$8/$C$8</f>
        <v>1.2</v>
      </c>
      <c r="E11" s="145">
        <f t="shared" si="0"/>
        <v>30000</v>
      </c>
      <c r="F11" s="145">
        <f t="shared" ref="F11:F15" si="2">C20</f>
        <v>25000</v>
      </c>
      <c r="G11" s="145">
        <f t="shared" si="1"/>
        <v>5000</v>
      </c>
      <c r="H11" s="23" t="str">
        <f t="shared" ref="H11:H15" si="3">IF(G11&lt;0,"Adverse","Favourable")</f>
        <v>Favourable</v>
      </c>
    </row>
    <row r="12" spans="1:8" ht="15.5" x14ac:dyDescent="0.35">
      <c r="A12" s="22"/>
      <c r="B12" s="22" t="s">
        <v>26</v>
      </c>
      <c r="C12" s="26">
        <v>12500</v>
      </c>
      <c r="D12" s="22">
        <f>$F$8/$C$8</f>
        <v>1.2</v>
      </c>
      <c r="E12" s="145">
        <f t="shared" si="0"/>
        <v>15000</v>
      </c>
      <c r="F12" s="145">
        <f t="shared" si="2"/>
        <v>18000</v>
      </c>
      <c r="G12" s="145">
        <f t="shared" si="1"/>
        <v>-3000</v>
      </c>
      <c r="H12" s="23" t="str">
        <f t="shared" si="3"/>
        <v>Adverse</v>
      </c>
    </row>
    <row r="13" spans="1:8" ht="15.5" x14ac:dyDescent="0.35">
      <c r="A13" s="22"/>
      <c r="B13" s="22" t="s">
        <v>27</v>
      </c>
      <c r="C13" s="26">
        <v>75000</v>
      </c>
      <c r="D13" s="22"/>
      <c r="E13" s="145">
        <f>C13</f>
        <v>75000</v>
      </c>
      <c r="F13" s="145">
        <f t="shared" si="2"/>
        <v>75000</v>
      </c>
      <c r="G13" s="145">
        <f t="shared" si="1"/>
        <v>0</v>
      </c>
      <c r="H13" s="23" t="str">
        <f t="shared" si="3"/>
        <v>Favourable</v>
      </c>
    </row>
    <row r="14" spans="1:8" ht="15.5" x14ac:dyDescent="0.35">
      <c r="A14" s="22"/>
      <c r="B14" s="22" t="s">
        <v>28</v>
      </c>
      <c r="C14" s="26">
        <v>18000</v>
      </c>
      <c r="D14" s="22">
        <f>$F$8/$C$8</f>
        <v>1.2</v>
      </c>
      <c r="E14" s="145">
        <f t="shared" si="0"/>
        <v>21600</v>
      </c>
      <c r="F14" s="145">
        <f t="shared" si="2"/>
        <v>20000</v>
      </c>
      <c r="G14" s="145">
        <f t="shared" si="1"/>
        <v>1600</v>
      </c>
      <c r="H14" s="23" t="str">
        <f t="shared" si="3"/>
        <v>Favourable</v>
      </c>
    </row>
    <row r="15" spans="1:8" ht="17" x14ac:dyDescent="0.5">
      <c r="A15" s="22"/>
      <c r="B15" s="22" t="s">
        <v>29</v>
      </c>
      <c r="C15" s="28">
        <v>65000</v>
      </c>
      <c r="D15" s="22"/>
      <c r="E15" s="145">
        <f>C15</f>
        <v>65000</v>
      </c>
      <c r="F15" s="145">
        <f t="shared" si="2"/>
        <v>65000</v>
      </c>
      <c r="G15" s="145">
        <f t="shared" si="1"/>
        <v>0</v>
      </c>
      <c r="H15" s="23" t="str">
        <f t="shared" si="3"/>
        <v>Favourable</v>
      </c>
    </row>
    <row r="16" spans="1:8" ht="18" x14ac:dyDescent="0.6">
      <c r="A16" s="22"/>
      <c r="B16" s="21" t="s">
        <v>30</v>
      </c>
      <c r="C16" s="29">
        <f>SUM(C10:C15)</f>
        <v>222500</v>
      </c>
      <c r="D16" s="29"/>
      <c r="E16" s="146">
        <f t="shared" ref="E16:F16" si="4">SUM(E10:E15)</f>
        <v>239000</v>
      </c>
      <c r="F16" s="146">
        <f t="shared" si="4"/>
        <v>235000</v>
      </c>
      <c r="G16" s="146">
        <f>SUM(G10:G15)</f>
        <v>4000</v>
      </c>
    </row>
    <row r="17" spans="1:6" ht="15.5" x14ac:dyDescent="0.35">
      <c r="A17" s="22"/>
      <c r="B17" s="22"/>
      <c r="C17" s="22"/>
      <c r="D17" s="22"/>
    </row>
    <row r="18" spans="1:6" ht="15.5" x14ac:dyDescent="0.35">
      <c r="A18" s="22"/>
      <c r="B18" s="21" t="s">
        <v>31</v>
      </c>
      <c r="C18" s="22"/>
      <c r="D18" s="155"/>
      <c r="E18" s="156"/>
    </row>
    <row r="19" spans="1:6" ht="15.5" x14ac:dyDescent="0.35">
      <c r="A19" s="22"/>
      <c r="B19" s="22" t="s">
        <v>24</v>
      </c>
      <c r="C19" s="27">
        <v>32000</v>
      </c>
      <c r="D19" s="22"/>
      <c r="F19" s="23">
        <v>239000</v>
      </c>
    </row>
    <row r="20" spans="1:6" ht="15.5" x14ac:dyDescent="0.35">
      <c r="A20" s="22"/>
      <c r="B20" s="22" t="s">
        <v>25</v>
      </c>
      <c r="C20" s="27">
        <v>25000</v>
      </c>
      <c r="D20" s="22"/>
    </row>
    <row r="21" spans="1:6" ht="15.5" x14ac:dyDescent="0.35">
      <c r="A21" s="22"/>
      <c r="B21" s="22" t="s">
        <v>26</v>
      </c>
      <c r="C21" s="27">
        <v>18000</v>
      </c>
      <c r="D21" s="22"/>
    </row>
    <row r="22" spans="1:6" ht="15.5" x14ac:dyDescent="0.35">
      <c r="A22" s="22"/>
      <c r="B22" s="22" t="s">
        <v>27</v>
      </c>
      <c r="C22" s="27">
        <v>75000</v>
      </c>
      <c r="D22" s="22"/>
    </row>
    <row r="23" spans="1:6" ht="15.5" x14ac:dyDescent="0.35">
      <c r="A23" s="22"/>
      <c r="B23" s="22" t="s">
        <v>28</v>
      </c>
      <c r="C23" s="27">
        <v>20000</v>
      </c>
      <c r="D23" s="22"/>
    </row>
    <row r="24" spans="1:6" ht="15.5" x14ac:dyDescent="0.35">
      <c r="A24" s="22"/>
      <c r="B24" s="22" t="s">
        <v>29</v>
      </c>
      <c r="C24" s="30">
        <v>65000</v>
      </c>
      <c r="D24" s="22"/>
    </row>
    <row r="25" spans="1:6" ht="15.5" x14ac:dyDescent="0.35">
      <c r="A25" s="22"/>
      <c r="B25" s="21" t="s">
        <v>30</v>
      </c>
      <c r="C25" s="31">
        <f>SUM(C19:C24)</f>
        <v>235000</v>
      </c>
      <c r="D25" s="22"/>
    </row>
    <row r="26" spans="1:6" ht="15.5" x14ac:dyDescent="0.35">
      <c r="A26" s="22"/>
      <c r="B26" s="22"/>
      <c r="C26" s="22"/>
      <c r="D26" s="22"/>
    </row>
    <row r="27" spans="1:6" ht="15.5" x14ac:dyDescent="0.35">
      <c r="A27" s="21" t="s">
        <v>32</v>
      </c>
      <c r="B27" s="22"/>
      <c r="C27" s="22"/>
      <c r="D27" s="22"/>
    </row>
    <row r="28" spans="1:6" ht="15.5" x14ac:dyDescent="0.35">
      <c r="A28" s="22" t="s">
        <v>33</v>
      </c>
      <c r="B28" s="22"/>
      <c r="C28" s="22"/>
      <c r="D28" s="22"/>
    </row>
    <row r="29" spans="1:6" ht="15.5" x14ac:dyDescent="0.35">
      <c r="A29" s="22" t="s">
        <v>34</v>
      </c>
      <c r="B29" s="22"/>
      <c r="C29" s="22"/>
      <c r="D29" s="22"/>
    </row>
    <row r="30" spans="1:6" ht="15.5" x14ac:dyDescent="0.35">
      <c r="A30" s="22" t="s">
        <v>35</v>
      </c>
      <c r="B30" s="22"/>
      <c r="C30" s="22"/>
      <c r="D30" s="22"/>
    </row>
    <row r="31" spans="1:6" ht="15.5" x14ac:dyDescent="0.35">
      <c r="A31" s="22" t="s">
        <v>36</v>
      </c>
      <c r="B31" s="22"/>
      <c r="C31" s="22"/>
      <c r="D31" s="22"/>
    </row>
    <row r="32" spans="1:6" ht="15.5" x14ac:dyDescent="0.35">
      <c r="A32" s="22" t="s">
        <v>37</v>
      </c>
      <c r="B32" s="22"/>
      <c r="C32" s="22"/>
      <c r="D32" s="22"/>
    </row>
    <row r="33" spans="1:6" ht="15.5" x14ac:dyDescent="0.35">
      <c r="A33" s="22"/>
      <c r="B33" s="22"/>
      <c r="C33" s="22"/>
      <c r="D33" s="22"/>
    </row>
    <row r="34" spans="1:6" ht="15.5" x14ac:dyDescent="0.35">
      <c r="A34" s="21" t="s">
        <v>0</v>
      </c>
      <c r="B34" s="22"/>
      <c r="C34" s="22"/>
      <c r="D34" s="22"/>
    </row>
    <row r="35" spans="1:6" ht="15.5" x14ac:dyDescent="0.35">
      <c r="A35" s="22" t="s">
        <v>38</v>
      </c>
      <c r="B35" s="22"/>
      <c r="C35" s="22"/>
      <c r="D35" s="22"/>
    </row>
    <row r="36" spans="1:6" ht="15.5" x14ac:dyDescent="0.35">
      <c r="A36" s="22"/>
      <c r="B36" s="22"/>
      <c r="C36" s="22"/>
      <c r="D36" s="22"/>
    </row>
    <row r="37" spans="1:6" ht="15.5" x14ac:dyDescent="0.35">
      <c r="A37" s="22" t="s">
        <v>39</v>
      </c>
      <c r="B37" s="22"/>
      <c r="C37" s="22"/>
      <c r="D37" s="22"/>
    </row>
    <row r="38" spans="1:6" ht="15.5" x14ac:dyDescent="0.35">
      <c r="A38" s="22"/>
      <c r="B38" s="22"/>
      <c r="C38" s="22"/>
      <c r="D38" s="22"/>
    </row>
    <row r="39" spans="1:6" ht="15.5" x14ac:dyDescent="0.35">
      <c r="A39" s="22" t="s">
        <v>40</v>
      </c>
      <c r="B39" s="22"/>
      <c r="C39" s="22"/>
      <c r="D39" s="22"/>
    </row>
    <row r="40" spans="1:6" ht="15.5" x14ac:dyDescent="0.35">
      <c r="A40" s="22"/>
      <c r="B40" s="22"/>
      <c r="C40" s="22"/>
      <c r="D40" s="22"/>
    </row>
    <row r="41" spans="1:6" ht="15.5" x14ac:dyDescent="0.35">
      <c r="A41" s="22" t="s">
        <v>41</v>
      </c>
      <c r="B41" s="22"/>
      <c r="C41" s="22"/>
      <c r="D41" s="22"/>
    </row>
    <row r="45" spans="1:6" x14ac:dyDescent="0.3">
      <c r="B45" s="23" t="s">
        <v>493</v>
      </c>
      <c r="C45" s="25" t="s">
        <v>491</v>
      </c>
      <c r="D45" s="25" t="s">
        <v>492</v>
      </c>
    </row>
    <row r="46" spans="1:6" x14ac:dyDescent="0.3">
      <c r="B46" s="23" t="str">
        <f>B10</f>
        <v>Direct materials</v>
      </c>
      <c r="C46" s="144">
        <f>(C10*1000)/1250</f>
        <v>21600</v>
      </c>
      <c r="D46" s="144">
        <f>(C10*1000)/1250</f>
        <v>21600</v>
      </c>
      <c r="F46" s="144"/>
    </row>
    <row r="47" spans="1:6" x14ac:dyDescent="0.3">
      <c r="B47" s="23" t="str">
        <f t="shared" ref="B47:B49" si="5">B11</f>
        <v>Direct labour</v>
      </c>
      <c r="C47" s="144">
        <f t="shared" ref="C47:C48" si="6">(C11*1000)/1250</f>
        <v>20000</v>
      </c>
      <c r="D47" s="144">
        <f t="shared" ref="D47:D49" si="7">(C11*1000)/1250</f>
        <v>20000</v>
      </c>
    </row>
    <row r="48" spans="1:6" x14ac:dyDescent="0.3">
      <c r="B48" s="23" t="str">
        <f t="shared" si="5"/>
        <v>Variable manufacturing overhead</v>
      </c>
      <c r="C48" s="144">
        <f t="shared" si="6"/>
        <v>10000</v>
      </c>
      <c r="D48" s="144">
        <f t="shared" si="7"/>
        <v>10000</v>
      </c>
    </row>
    <row r="49" spans="2:5" x14ac:dyDescent="0.3">
      <c r="B49" s="25" t="str">
        <f t="shared" si="5"/>
        <v>Fixed manufacturing overhead</v>
      </c>
      <c r="C49" s="43"/>
      <c r="D49" s="43">
        <f>(C13*1000)/1250</f>
        <v>60000</v>
      </c>
    </row>
    <row r="50" spans="2:5" x14ac:dyDescent="0.3">
      <c r="B50" s="23" t="str">
        <f>B16</f>
        <v>Total manufacturing costs</v>
      </c>
      <c r="C50" s="144">
        <f>SUM(C46:C49)</f>
        <v>51600</v>
      </c>
      <c r="D50" s="144">
        <f>SUM(D46:D49)</f>
        <v>111600</v>
      </c>
    </row>
    <row r="52" spans="2:5" x14ac:dyDescent="0.3">
      <c r="B52" s="23" t="s">
        <v>494</v>
      </c>
      <c r="C52" s="23">
        <v>1000</v>
      </c>
      <c r="D52" s="23">
        <v>2000</v>
      </c>
      <c r="E52" s="23">
        <v>2500</v>
      </c>
    </row>
    <row r="53" spans="2:5" x14ac:dyDescent="0.3">
      <c r="B53" s="23" t="s">
        <v>496</v>
      </c>
      <c r="C53" s="23">
        <v>850</v>
      </c>
      <c r="D53" s="23">
        <f t="shared" ref="D53:E53" si="8">80%*D52</f>
        <v>1600</v>
      </c>
      <c r="E53" s="23">
        <f t="shared" si="8"/>
        <v>2000</v>
      </c>
    </row>
    <row r="54" spans="2:5" x14ac:dyDescent="0.3">
      <c r="B54" s="23" t="s">
        <v>497</v>
      </c>
      <c r="C54" s="23">
        <v>150</v>
      </c>
      <c r="D54" s="23">
        <f t="shared" ref="D54:E54" si="9">D52-D53</f>
        <v>400</v>
      </c>
      <c r="E54" s="23">
        <f t="shared" si="9"/>
        <v>500</v>
      </c>
    </row>
    <row r="55" spans="2:5" x14ac:dyDescent="0.3">
      <c r="B55" s="23" t="s">
        <v>499</v>
      </c>
      <c r="C55" s="23">
        <v>230000</v>
      </c>
      <c r="D55" s="23">
        <v>230000</v>
      </c>
      <c r="E55" s="23">
        <v>230000</v>
      </c>
    </row>
    <row r="58" spans="2:5" x14ac:dyDescent="0.3">
      <c r="B58" s="23" t="s">
        <v>498</v>
      </c>
    </row>
    <row r="59" spans="2:5" x14ac:dyDescent="0.3">
      <c r="C59" s="23" t="s">
        <v>504</v>
      </c>
    </row>
    <row r="62" spans="2:5" x14ac:dyDescent="0.3">
      <c r="B62" s="23" t="s">
        <v>495</v>
      </c>
      <c r="C62" s="145">
        <f>C53*C55</f>
        <v>195500000</v>
      </c>
      <c r="D62" s="145">
        <f t="shared" ref="D62:E62" si="10">D53*D55</f>
        <v>368000000</v>
      </c>
      <c r="E62" s="145">
        <f t="shared" si="10"/>
        <v>460000000</v>
      </c>
    </row>
    <row r="63" spans="2:5" x14ac:dyDescent="0.3">
      <c r="B63" s="23" t="s">
        <v>500</v>
      </c>
    </row>
    <row r="64" spans="2:5" x14ac:dyDescent="0.3">
      <c r="B64" s="23" t="s">
        <v>501</v>
      </c>
      <c r="C64" s="23">
        <v>0</v>
      </c>
      <c r="D64" s="23">
        <v>0</v>
      </c>
      <c r="E64" s="23">
        <v>0</v>
      </c>
    </row>
    <row r="65" spans="2:5" x14ac:dyDescent="0.3">
      <c r="B65" s="23" t="s">
        <v>502</v>
      </c>
      <c r="C65" s="144">
        <f>C52*$C$50</f>
        <v>51600000</v>
      </c>
      <c r="D65" s="144">
        <f t="shared" ref="D65" si="11">D52*$C$50</f>
        <v>103200000</v>
      </c>
      <c r="E65" s="144">
        <f>E52*$C$50</f>
        <v>129000000</v>
      </c>
    </row>
    <row r="66" spans="2:5" x14ac:dyDescent="0.3">
      <c r="B66" s="23" t="s">
        <v>503</v>
      </c>
      <c r="C66" s="144">
        <f>-C54*$C$50</f>
        <v>-7740000</v>
      </c>
      <c r="D66" s="144">
        <f t="shared" ref="D66:E66" si="12">-D54*$C$50</f>
        <v>-20640000</v>
      </c>
      <c r="E66" s="144">
        <f t="shared" si="12"/>
        <v>-25800000</v>
      </c>
    </row>
    <row r="67" spans="2:5" x14ac:dyDescent="0.3">
      <c r="B67" s="23" t="s">
        <v>500</v>
      </c>
      <c r="C67" s="144">
        <f>C64+C65+C66</f>
        <v>43860000</v>
      </c>
      <c r="D67" s="144">
        <f t="shared" ref="D67:E67" si="13">D64+D65+D66</f>
        <v>82560000</v>
      </c>
      <c r="E67" s="144">
        <f t="shared" si="13"/>
        <v>103200000</v>
      </c>
    </row>
    <row r="68" spans="2:5" x14ac:dyDescent="0.3">
      <c r="B68" s="23" t="s">
        <v>505</v>
      </c>
      <c r="C68" s="144">
        <f>C62-C67</f>
        <v>151640000</v>
      </c>
      <c r="D68" s="144">
        <f t="shared" ref="D68:E68" si="14">D62-D67</f>
        <v>285440000</v>
      </c>
      <c r="E68" s="144">
        <f t="shared" si="14"/>
        <v>356800000</v>
      </c>
    </row>
    <row r="69" spans="2:5" ht="15.5" x14ac:dyDescent="0.35">
      <c r="B69" s="22" t="s">
        <v>28</v>
      </c>
      <c r="C69" s="144">
        <f>(($C$14*1000)/1250)*C53</f>
        <v>12240000</v>
      </c>
      <c r="D69" s="144">
        <f t="shared" ref="D69:E69" si="15">(($C$14*1000)/1250)*D53</f>
        <v>23040000</v>
      </c>
      <c r="E69" s="144">
        <f t="shared" si="15"/>
        <v>28800000</v>
      </c>
    </row>
    <row r="70" spans="2:5" x14ac:dyDescent="0.3">
      <c r="B70" s="23" t="s">
        <v>408</v>
      </c>
      <c r="C70" s="144">
        <f>C68-C69</f>
        <v>139400000</v>
      </c>
      <c r="D70" s="144">
        <f t="shared" ref="D70:E70" si="16">D68-D69</f>
        <v>262400000</v>
      </c>
      <c r="E70" s="144">
        <f t="shared" si="16"/>
        <v>328000000</v>
      </c>
    </row>
    <row r="71" spans="2:5" x14ac:dyDescent="0.3">
      <c r="B71" s="23" t="s">
        <v>506</v>
      </c>
    </row>
    <row r="72" spans="2:5" ht="15.5" x14ac:dyDescent="0.35">
      <c r="B72" s="22" t="s">
        <v>27</v>
      </c>
      <c r="C72" s="26">
        <v>75000000</v>
      </c>
      <c r="D72" s="26">
        <v>75000000</v>
      </c>
      <c r="E72" s="26">
        <v>75000000</v>
      </c>
    </row>
    <row r="73" spans="2:5" ht="17" x14ac:dyDescent="0.5">
      <c r="B73" s="22" t="s">
        <v>29</v>
      </c>
      <c r="C73" s="28">
        <v>65000000</v>
      </c>
      <c r="D73" s="28">
        <v>65000000</v>
      </c>
      <c r="E73" s="28">
        <v>65000000</v>
      </c>
    </row>
    <row r="74" spans="2:5" x14ac:dyDescent="0.3">
      <c r="B74" s="23" t="s">
        <v>507</v>
      </c>
      <c r="C74" s="144">
        <f>C70-C72-C73</f>
        <v>-600000</v>
      </c>
      <c r="D74" s="144">
        <f t="shared" ref="D74:E74" si="17">D70-D72-D73</f>
        <v>122400000</v>
      </c>
      <c r="E74" s="144">
        <f t="shared" si="17"/>
        <v>188000000</v>
      </c>
    </row>
    <row r="75" spans="2:5" x14ac:dyDescent="0.3">
      <c r="B75" s="23" t="s">
        <v>508</v>
      </c>
      <c r="C75" s="144">
        <f>30%*C74</f>
        <v>-180000</v>
      </c>
      <c r="D75" s="144">
        <f t="shared" ref="D75:E75" si="18">30%*D74</f>
        <v>36720000</v>
      </c>
      <c r="E75" s="144">
        <f t="shared" si="18"/>
        <v>56400000</v>
      </c>
    </row>
    <row r="76" spans="2:5" x14ac:dyDescent="0.3">
      <c r="B76" s="25" t="s">
        <v>464</v>
      </c>
      <c r="C76" s="43">
        <f>C74-C75</f>
        <v>-420000</v>
      </c>
      <c r="D76" s="43">
        <f t="shared" ref="D76:E76" si="19">D74-D75</f>
        <v>85680000</v>
      </c>
      <c r="E76" s="43">
        <f t="shared" si="19"/>
        <v>131600000</v>
      </c>
    </row>
    <row r="81" spans="2:5" x14ac:dyDescent="0.3">
      <c r="C81" s="23" t="s">
        <v>516</v>
      </c>
    </row>
    <row r="83" spans="2:5" x14ac:dyDescent="0.3">
      <c r="B83" s="23" t="s">
        <v>495</v>
      </c>
      <c r="C83" s="145">
        <f>C53*C55</f>
        <v>195500000</v>
      </c>
      <c r="D83" s="145">
        <f t="shared" ref="D83:E83" si="20">D53*D55</f>
        <v>368000000</v>
      </c>
      <c r="E83" s="145">
        <f t="shared" si="20"/>
        <v>460000000</v>
      </c>
    </row>
    <row r="84" spans="2:5" x14ac:dyDescent="0.3">
      <c r="B84" s="23" t="s">
        <v>500</v>
      </c>
      <c r="C84" s="145"/>
      <c r="D84" s="145"/>
      <c r="E84" s="145"/>
    </row>
    <row r="85" spans="2:5" x14ac:dyDescent="0.3">
      <c r="B85" s="23" t="s">
        <v>517</v>
      </c>
      <c r="C85" s="145">
        <v>0</v>
      </c>
      <c r="D85" s="145">
        <v>0</v>
      </c>
      <c r="E85" s="145">
        <v>0</v>
      </c>
    </row>
    <row r="86" spans="2:5" x14ac:dyDescent="0.3">
      <c r="B86" s="23" t="s">
        <v>502</v>
      </c>
      <c r="C86" s="145">
        <f>$D$50*C52</f>
        <v>111600000</v>
      </c>
      <c r="D86" s="145">
        <f>$D$50*D52</f>
        <v>223200000</v>
      </c>
      <c r="E86" s="145">
        <f>$D$50*E52</f>
        <v>279000000</v>
      </c>
    </row>
    <row r="87" spans="2:5" x14ac:dyDescent="0.3">
      <c r="B87" s="23" t="s">
        <v>503</v>
      </c>
      <c r="C87" s="145">
        <f>$D$50*C54</f>
        <v>16740000</v>
      </c>
      <c r="D87" s="145">
        <f t="shared" ref="D87:E87" si="21">$D$50*D54</f>
        <v>44640000</v>
      </c>
      <c r="E87" s="145">
        <f t="shared" si="21"/>
        <v>55800000</v>
      </c>
    </row>
    <row r="88" spans="2:5" x14ac:dyDescent="0.3">
      <c r="B88" s="25" t="s">
        <v>500</v>
      </c>
      <c r="C88" s="151">
        <f>C85+C86-C87</f>
        <v>94860000</v>
      </c>
      <c r="D88" s="151">
        <f t="shared" ref="D88:E88" si="22">D85+D86-D87</f>
        <v>178560000</v>
      </c>
      <c r="E88" s="151">
        <f t="shared" si="22"/>
        <v>223200000</v>
      </c>
    </row>
    <row r="89" spans="2:5" x14ac:dyDescent="0.3">
      <c r="B89" s="25" t="s">
        <v>510</v>
      </c>
      <c r="C89" s="151">
        <f>C83-C88</f>
        <v>100640000</v>
      </c>
      <c r="D89" s="151">
        <f t="shared" ref="D89:E89" si="23">D83-D88</f>
        <v>189440000</v>
      </c>
      <c r="E89" s="151">
        <f t="shared" si="23"/>
        <v>236800000</v>
      </c>
    </row>
    <row r="90" spans="2:5" x14ac:dyDescent="0.3">
      <c r="C90" s="145"/>
      <c r="D90" s="145"/>
      <c r="E90" s="145"/>
    </row>
    <row r="91" spans="2:5" x14ac:dyDescent="0.3">
      <c r="B91" s="23" t="s">
        <v>518</v>
      </c>
      <c r="C91" s="153">
        <f>$C$13*1000</f>
        <v>75000000</v>
      </c>
      <c r="D91" s="152">
        <f t="shared" ref="D91:E91" si="24">$C$13*1000</f>
        <v>75000000</v>
      </c>
      <c r="E91" s="152">
        <f t="shared" si="24"/>
        <v>75000000</v>
      </c>
    </row>
    <row r="92" spans="2:5" x14ac:dyDescent="0.3">
      <c r="B92" s="23" t="s">
        <v>519</v>
      </c>
      <c r="C92" s="152">
        <f>$D$49*C52</f>
        <v>60000000</v>
      </c>
      <c r="D92" s="152">
        <f t="shared" ref="D92:E92" si="25">$D$49*D52</f>
        <v>120000000</v>
      </c>
      <c r="E92" s="152">
        <f t="shared" si="25"/>
        <v>150000000</v>
      </c>
    </row>
    <row r="93" spans="2:5" x14ac:dyDescent="0.3">
      <c r="B93" s="25" t="s">
        <v>520</v>
      </c>
      <c r="C93" s="154">
        <f>C92-C91</f>
        <v>-15000000</v>
      </c>
      <c r="D93" s="151">
        <f t="shared" ref="D93:E93" si="26">D92-D91</f>
        <v>45000000</v>
      </c>
      <c r="E93" s="151">
        <f t="shared" si="26"/>
        <v>75000000</v>
      </c>
    </row>
    <row r="94" spans="2:5" x14ac:dyDescent="0.3">
      <c r="B94" s="25" t="s">
        <v>514</v>
      </c>
      <c r="C94" s="151">
        <f>C89+C93</f>
        <v>85640000</v>
      </c>
      <c r="D94" s="151">
        <f t="shared" ref="D94:E94" si="27">D89+D93</f>
        <v>234440000</v>
      </c>
      <c r="E94" s="151">
        <f t="shared" si="27"/>
        <v>311800000</v>
      </c>
    </row>
    <row r="95" spans="2:5" ht="15.5" x14ac:dyDescent="0.35">
      <c r="B95" s="22" t="s">
        <v>28</v>
      </c>
      <c r="C95" s="145">
        <f>(($C$14*1000)/1250)*C53</f>
        <v>12240000</v>
      </c>
      <c r="D95" s="145">
        <f t="shared" ref="D95:E95" si="28">(($C$14*1000)/1250)*D53</f>
        <v>23040000</v>
      </c>
      <c r="E95" s="145">
        <f t="shared" si="28"/>
        <v>28800000</v>
      </c>
    </row>
    <row r="96" spans="2:5" ht="15.5" x14ac:dyDescent="0.35">
      <c r="B96" s="22" t="s">
        <v>29</v>
      </c>
      <c r="C96" s="145">
        <f>$C$15*1000</f>
        <v>65000000</v>
      </c>
      <c r="D96" s="145">
        <f t="shared" ref="D96:E96" si="29">$C$15*1000</f>
        <v>65000000</v>
      </c>
      <c r="E96" s="145">
        <f t="shared" si="29"/>
        <v>65000000</v>
      </c>
    </row>
    <row r="97" spans="2:5" x14ac:dyDescent="0.3">
      <c r="B97" s="25" t="s">
        <v>507</v>
      </c>
      <c r="C97" s="151">
        <f>C94-C95-C96</f>
        <v>8400000</v>
      </c>
      <c r="D97" s="151">
        <f t="shared" ref="D97:E97" si="30">D94-D95-D96</f>
        <v>146400000</v>
      </c>
      <c r="E97" s="151">
        <f t="shared" si="30"/>
        <v>218000000</v>
      </c>
    </row>
    <row r="98" spans="2:5" ht="15.5" x14ac:dyDescent="0.35">
      <c r="B98" s="22" t="s">
        <v>521</v>
      </c>
      <c r="C98" s="145">
        <f>30%*C97</f>
        <v>2520000</v>
      </c>
      <c r="D98" s="145">
        <f t="shared" ref="D98:E98" si="31">30%*D97</f>
        <v>43920000</v>
      </c>
      <c r="E98" s="145">
        <f t="shared" si="31"/>
        <v>65400000</v>
      </c>
    </row>
    <row r="99" spans="2:5" x14ac:dyDescent="0.3">
      <c r="B99" s="25" t="s">
        <v>464</v>
      </c>
      <c r="C99" s="151">
        <f>C97-C98</f>
        <v>5880000</v>
      </c>
      <c r="D99" s="151">
        <f t="shared" ref="D99:E99" si="32">D97-D98</f>
        <v>102480000</v>
      </c>
      <c r="E99" s="151">
        <f t="shared" si="32"/>
        <v>152600000</v>
      </c>
    </row>
    <row r="100" spans="2:5" x14ac:dyDescent="0.3">
      <c r="C100" s="145"/>
      <c r="D100" s="145"/>
      <c r="E100" s="145"/>
    </row>
    <row r="101" spans="2:5" x14ac:dyDescent="0.3">
      <c r="C101" s="145"/>
      <c r="D101" s="145"/>
      <c r="E101" s="145"/>
    </row>
    <row r="102" spans="2:5" x14ac:dyDescent="0.3">
      <c r="C102" s="145"/>
      <c r="D102" s="145"/>
      <c r="E102" s="145"/>
    </row>
    <row r="103" spans="2:5" x14ac:dyDescent="0.3">
      <c r="C103" s="160" t="s">
        <v>522</v>
      </c>
      <c r="D103" s="160"/>
      <c r="E103" s="160"/>
    </row>
    <row r="104" spans="2:5" x14ac:dyDescent="0.3">
      <c r="C104" s="145"/>
      <c r="D104" s="145"/>
      <c r="E104" s="145"/>
    </row>
    <row r="105" spans="2:5" x14ac:dyDescent="0.3">
      <c r="B105" s="23" t="s">
        <v>523</v>
      </c>
      <c r="C105" s="145">
        <f>C74</f>
        <v>-600000</v>
      </c>
      <c r="D105" s="145">
        <f t="shared" ref="D105:E105" si="33">D74</f>
        <v>122400000</v>
      </c>
      <c r="E105" s="145">
        <f t="shared" si="33"/>
        <v>188000000</v>
      </c>
    </row>
    <row r="106" spans="2:5" x14ac:dyDescent="0.3">
      <c r="B106" s="157" t="s">
        <v>524</v>
      </c>
      <c r="C106" s="145">
        <v>0</v>
      </c>
      <c r="D106" s="145">
        <v>0</v>
      </c>
      <c r="E106" s="145">
        <v>0</v>
      </c>
    </row>
    <row r="107" spans="2:5" x14ac:dyDescent="0.3">
      <c r="B107" s="157" t="s">
        <v>525</v>
      </c>
      <c r="C107" s="145">
        <f>60000*C54</f>
        <v>9000000</v>
      </c>
      <c r="D107" s="145">
        <f t="shared" ref="D107:E107" si="34">60000*D54</f>
        <v>24000000</v>
      </c>
      <c r="E107" s="145">
        <f t="shared" si="34"/>
        <v>30000000</v>
      </c>
    </row>
    <row r="108" spans="2:5" ht="14.5" thickBot="1" x14ac:dyDescent="0.35">
      <c r="B108" s="158" t="s">
        <v>526</v>
      </c>
      <c r="C108" s="159">
        <f>SUM(C105:C107)</f>
        <v>8400000</v>
      </c>
      <c r="D108" s="159">
        <f t="shared" ref="D108:E108" si="35">SUM(D105:D107)</f>
        <v>146400000</v>
      </c>
      <c r="E108" s="159">
        <f t="shared" si="35"/>
        <v>218000000</v>
      </c>
    </row>
    <row r="109" spans="2:5" ht="14.5" thickTop="1" x14ac:dyDescent="0.3">
      <c r="C109" s="145"/>
      <c r="D109" s="145"/>
      <c r="E109" s="145"/>
    </row>
    <row r="110" spans="2:5" x14ac:dyDescent="0.3">
      <c r="C110" s="145"/>
      <c r="D110" s="145"/>
      <c r="E110" s="145"/>
    </row>
    <row r="111" spans="2:5" x14ac:dyDescent="0.3">
      <c r="C111" s="145"/>
      <c r="D111" s="145"/>
      <c r="E111" s="145"/>
    </row>
    <row r="112" spans="2:5" x14ac:dyDescent="0.3">
      <c r="C112" s="145"/>
      <c r="D112" s="145"/>
      <c r="E112" s="145"/>
    </row>
    <row r="113" spans="3:5" x14ac:dyDescent="0.3">
      <c r="C113" s="145"/>
      <c r="D113" s="145"/>
      <c r="E113" s="145"/>
    </row>
    <row r="114" spans="3:5" x14ac:dyDescent="0.3">
      <c r="C114" s="145"/>
      <c r="D114" s="145"/>
      <c r="E114" s="145"/>
    </row>
    <row r="115" spans="3:5" x14ac:dyDescent="0.3">
      <c r="C115" s="145"/>
      <c r="D115" s="145"/>
      <c r="E115" s="145"/>
    </row>
    <row r="116" spans="3:5" x14ac:dyDescent="0.3">
      <c r="C116" s="145"/>
      <c r="D116" s="145"/>
      <c r="E116" s="145"/>
    </row>
    <row r="117" spans="3:5" x14ac:dyDescent="0.3">
      <c r="C117" s="145"/>
      <c r="D117" s="145"/>
      <c r="E117" s="145"/>
    </row>
    <row r="118" spans="3:5" x14ac:dyDescent="0.3">
      <c r="C118" s="145"/>
      <c r="D118" s="145"/>
      <c r="E118" s="145"/>
    </row>
    <row r="119" spans="3:5" x14ac:dyDescent="0.3">
      <c r="C119" s="145"/>
      <c r="D119" s="145"/>
      <c r="E119" s="145"/>
    </row>
    <row r="120" spans="3:5" x14ac:dyDescent="0.3">
      <c r="C120" s="145"/>
      <c r="D120" s="145"/>
      <c r="E120" s="145"/>
    </row>
    <row r="121" spans="3:5" x14ac:dyDescent="0.3">
      <c r="C121" s="145"/>
      <c r="D121" s="145"/>
      <c r="E121" s="145"/>
    </row>
    <row r="122" spans="3:5" x14ac:dyDescent="0.3">
      <c r="C122" s="145"/>
      <c r="D122" s="145"/>
      <c r="E122" s="145"/>
    </row>
    <row r="123" spans="3:5" x14ac:dyDescent="0.3">
      <c r="C123" s="145"/>
      <c r="D123" s="145"/>
      <c r="E123" s="145"/>
    </row>
    <row r="124" spans="3:5" x14ac:dyDescent="0.3">
      <c r="C124" s="145"/>
      <c r="D124" s="145"/>
      <c r="E124" s="145"/>
    </row>
    <row r="125" spans="3:5" x14ac:dyDescent="0.3">
      <c r="C125" s="145"/>
      <c r="D125" s="145"/>
      <c r="E125" s="145"/>
    </row>
    <row r="126" spans="3:5" x14ac:dyDescent="0.3">
      <c r="C126" s="145"/>
      <c r="D126" s="145"/>
      <c r="E126" s="145"/>
    </row>
    <row r="127" spans="3:5" x14ac:dyDescent="0.3">
      <c r="C127" s="145"/>
      <c r="D127" s="145"/>
      <c r="E127" s="145"/>
    </row>
    <row r="128" spans="3:5" x14ac:dyDescent="0.3">
      <c r="C128" s="145"/>
      <c r="D128" s="145"/>
      <c r="E128" s="145"/>
    </row>
    <row r="129" spans="3:5" x14ac:dyDescent="0.3">
      <c r="C129" s="145"/>
      <c r="D129" s="145"/>
      <c r="E129" s="145"/>
    </row>
    <row r="130" spans="3:5" x14ac:dyDescent="0.3">
      <c r="C130" s="145"/>
      <c r="D130" s="145"/>
      <c r="E130" s="145"/>
    </row>
    <row r="131" spans="3:5" x14ac:dyDescent="0.3">
      <c r="C131" s="145"/>
      <c r="D131" s="145"/>
      <c r="E131" s="145"/>
    </row>
    <row r="132" spans="3:5" x14ac:dyDescent="0.3">
      <c r="C132" s="145"/>
      <c r="D132" s="145"/>
      <c r="E132" s="145"/>
    </row>
    <row r="133" spans="3:5" x14ac:dyDescent="0.3">
      <c r="C133" s="145"/>
      <c r="D133" s="145"/>
      <c r="E133" s="145"/>
    </row>
  </sheetData>
  <mergeCells count="1">
    <mergeCell ref="C103:E10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B0C6-2739-4D56-88BC-06C02AC4D8FA}">
  <dimension ref="A1:I50"/>
  <sheetViews>
    <sheetView topLeftCell="A24" workbookViewId="0">
      <selection activeCell="A2" sqref="A2:I44"/>
    </sheetView>
  </sheetViews>
  <sheetFormatPr defaultRowHeight="14.5" x14ac:dyDescent="0.35"/>
  <cols>
    <col min="1" max="1" width="47.26953125" customWidth="1"/>
    <col min="2" max="2" width="12.1796875" customWidth="1"/>
    <col min="3" max="3" width="16.453125" bestFit="1" customWidth="1"/>
    <col min="4" max="4" width="14.81640625" bestFit="1" customWidth="1"/>
    <col min="5" max="5" width="12" bestFit="1" customWidth="1"/>
  </cols>
  <sheetData>
    <row r="1" spans="1:9" ht="15.5" x14ac:dyDescent="0.35">
      <c r="A1" s="1"/>
      <c r="B1" s="1"/>
      <c r="C1" s="5"/>
      <c r="D1" s="6"/>
      <c r="E1" s="1"/>
      <c r="F1" s="1"/>
    </row>
    <row r="2" spans="1:9" ht="15.5" x14ac:dyDescent="0.35">
      <c r="A2" s="1"/>
      <c r="B2" s="1"/>
      <c r="C2" s="33"/>
      <c r="D2" s="6"/>
      <c r="E2" s="1"/>
      <c r="F2" s="1"/>
    </row>
    <row r="3" spans="1:9" x14ac:dyDescent="0.35">
      <c r="A3" s="149" t="s">
        <v>45</v>
      </c>
      <c r="B3" s="149"/>
      <c r="C3" s="149"/>
      <c r="D3" s="149"/>
      <c r="E3" s="149"/>
      <c r="F3" s="149"/>
      <c r="G3" s="149"/>
      <c r="H3" s="149"/>
      <c r="I3" s="149"/>
    </row>
    <row r="4" spans="1:9" x14ac:dyDescent="0.35">
      <c r="A4" s="9" t="s">
        <v>46</v>
      </c>
      <c r="B4" s="34"/>
      <c r="C4" s="34"/>
      <c r="D4" s="34"/>
      <c r="E4" s="34"/>
      <c r="F4" s="34"/>
      <c r="G4" s="34"/>
      <c r="H4" s="34"/>
      <c r="I4" s="34"/>
    </row>
    <row r="5" spans="1:9" x14ac:dyDescent="0.35">
      <c r="A5" s="10" t="s">
        <v>47</v>
      </c>
      <c r="B5" s="34"/>
      <c r="C5" s="34"/>
      <c r="D5" s="34"/>
      <c r="E5" s="34"/>
      <c r="F5" s="34"/>
      <c r="G5" s="34"/>
      <c r="H5" s="34"/>
      <c r="I5" s="34"/>
    </row>
    <row r="6" spans="1:9" x14ac:dyDescent="0.35">
      <c r="A6" s="35" t="s">
        <v>48</v>
      </c>
      <c r="B6" s="36">
        <v>5000</v>
      </c>
      <c r="C6" s="34"/>
      <c r="D6" s="34"/>
      <c r="E6" s="34"/>
      <c r="F6" s="34"/>
      <c r="G6" s="34"/>
      <c r="H6" s="34"/>
      <c r="I6" s="34"/>
    </row>
    <row r="7" spans="1:9" x14ac:dyDescent="0.35">
      <c r="A7" s="35" t="s">
        <v>49</v>
      </c>
      <c r="B7" s="35">
        <v>60</v>
      </c>
      <c r="C7" s="34"/>
      <c r="D7" s="34"/>
      <c r="E7" s="34"/>
      <c r="F7" s="34"/>
      <c r="G7" s="34"/>
      <c r="H7" s="34"/>
      <c r="I7" s="34"/>
    </row>
    <row r="8" spans="1:9" x14ac:dyDescent="0.35">
      <c r="A8" s="35" t="s">
        <v>50</v>
      </c>
      <c r="B8" s="35">
        <v>40</v>
      </c>
      <c r="C8" s="34"/>
      <c r="D8" s="34"/>
      <c r="E8" s="34"/>
      <c r="F8" s="34"/>
      <c r="G8" s="34"/>
      <c r="H8" s="34"/>
      <c r="I8" s="34"/>
    </row>
    <row r="9" spans="1:9" x14ac:dyDescent="0.35">
      <c r="A9" s="35" t="s">
        <v>51</v>
      </c>
      <c r="B9" s="35">
        <v>100000</v>
      </c>
      <c r="C9" s="34"/>
      <c r="D9" s="34"/>
      <c r="E9" s="34"/>
      <c r="F9" s="34"/>
      <c r="G9" s="34"/>
      <c r="H9" s="34"/>
      <c r="I9" s="34"/>
    </row>
    <row r="10" spans="1:9" x14ac:dyDescent="0.35">
      <c r="A10" s="9"/>
      <c r="B10" s="34"/>
      <c r="C10" s="34"/>
      <c r="D10" s="34"/>
      <c r="E10" s="34"/>
      <c r="F10" s="34"/>
      <c r="G10" s="34"/>
      <c r="H10" s="34"/>
      <c r="I10" s="34"/>
    </row>
    <row r="11" spans="1:9" x14ac:dyDescent="0.35">
      <c r="A11" s="9" t="s">
        <v>52</v>
      </c>
      <c r="B11" s="34"/>
      <c r="C11" s="34"/>
      <c r="D11" s="34"/>
      <c r="E11" s="34"/>
      <c r="F11" s="34"/>
      <c r="G11" s="34"/>
      <c r="H11" s="34"/>
      <c r="I11" s="34"/>
    </row>
    <row r="12" spans="1:9" x14ac:dyDescent="0.35">
      <c r="A12" s="9"/>
      <c r="B12" s="34"/>
      <c r="C12" s="34"/>
      <c r="D12" s="34"/>
      <c r="E12" s="34"/>
      <c r="F12" s="34"/>
      <c r="G12" s="34"/>
      <c r="H12" s="9"/>
      <c r="I12" s="9"/>
    </row>
    <row r="13" spans="1:9" x14ac:dyDescent="0.35">
      <c r="A13" s="37" t="str">
        <f t="shared" ref="A13:B16" si="0">A6</f>
        <v>Units Sold</v>
      </c>
      <c r="B13" s="38">
        <f t="shared" si="0"/>
        <v>5000</v>
      </c>
      <c r="C13" s="34"/>
      <c r="D13" s="34"/>
      <c r="E13" s="34"/>
      <c r="G13" s="34"/>
      <c r="H13" s="34"/>
      <c r="I13" s="34"/>
    </row>
    <row r="14" spans="1:9" x14ac:dyDescent="0.35">
      <c r="A14" s="37" t="str">
        <f t="shared" si="0"/>
        <v>Price per Unit(sh)</v>
      </c>
      <c r="B14" s="39">
        <f t="shared" si="0"/>
        <v>60</v>
      </c>
      <c r="C14" s="34"/>
      <c r="D14" s="34"/>
      <c r="E14" s="34"/>
      <c r="F14" s="9"/>
      <c r="G14" s="34"/>
      <c r="H14" s="34"/>
      <c r="I14" s="34"/>
    </row>
    <row r="15" spans="1:9" x14ac:dyDescent="0.35">
      <c r="A15" s="37" t="str">
        <f t="shared" si="0"/>
        <v>VariableCost per Unit(sh)</v>
      </c>
      <c r="B15" s="39">
        <f t="shared" si="0"/>
        <v>40</v>
      </c>
      <c r="C15" s="34"/>
      <c r="D15" s="34"/>
      <c r="E15" s="34"/>
      <c r="F15" s="9"/>
      <c r="G15" s="34"/>
      <c r="H15" s="34"/>
      <c r="I15" s="34"/>
    </row>
    <row r="16" spans="1:9" x14ac:dyDescent="0.35">
      <c r="A16" s="37" t="str">
        <f t="shared" si="0"/>
        <v>Fixed Costs(sh)</v>
      </c>
      <c r="B16" s="39">
        <f t="shared" si="0"/>
        <v>100000</v>
      </c>
      <c r="C16" s="34"/>
      <c r="D16" s="34"/>
      <c r="E16" s="34"/>
      <c r="F16" s="9"/>
      <c r="G16" s="34"/>
      <c r="H16" s="34"/>
      <c r="I16" s="34"/>
    </row>
    <row r="17" spans="1:9" x14ac:dyDescent="0.35">
      <c r="A17" s="9"/>
      <c r="B17" s="39"/>
      <c r="C17" s="34"/>
      <c r="D17" s="34"/>
      <c r="E17" s="34"/>
      <c r="F17" s="34"/>
      <c r="G17" s="34"/>
      <c r="H17" s="34"/>
      <c r="I17" s="34"/>
    </row>
    <row r="18" spans="1:9" x14ac:dyDescent="0.35">
      <c r="A18" s="149" t="s">
        <v>53</v>
      </c>
      <c r="B18" s="149"/>
      <c r="C18" s="149"/>
      <c r="D18" s="149"/>
      <c r="E18" s="149"/>
      <c r="F18" s="149"/>
      <c r="G18" s="149"/>
      <c r="H18" s="149"/>
      <c r="I18" s="149"/>
    </row>
    <row r="19" spans="1:9" x14ac:dyDescent="0.35">
      <c r="A19" s="9" t="s">
        <v>54</v>
      </c>
      <c r="B19" s="34"/>
      <c r="C19" s="34"/>
      <c r="D19" s="34"/>
      <c r="E19" s="34"/>
      <c r="F19" s="34"/>
      <c r="G19" s="34"/>
      <c r="H19" s="34"/>
      <c r="I19" s="34"/>
    </row>
    <row r="20" spans="1:9" x14ac:dyDescent="0.35">
      <c r="A20" s="9" t="s">
        <v>55</v>
      </c>
      <c r="B20" s="34"/>
      <c r="C20" s="34"/>
      <c r="D20" s="34"/>
      <c r="E20" s="34"/>
      <c r="F20" s="34"/>
      <c r="G20" s="34"/>
      <c r="H20" s="34"/>
      <c r="I20" s="34"/>
    </row>
    <row r="21" spans="1:9" x14ac:dyDescent="0.35">
      <c r="A21" s="9"/>
      <c r="B21" s="34"/>
      <c r="C21" s="34"/>
      <c r="D21" s="34"/>
      <c r="E21" s="34"/>
      <c r="F21" s="34"/>
      <c r="G21" s="34"/>
      <c r="H21" s="34"/>
      <c r="I21" s="34"/>
    </row>
    <row r="22" spans="1:9" x14ac:dyDescent="0.35">
      <c r="A22" s="10" t="s">
        <v>56</v>
      </c>
      <c r="B22" s="40" t="s">
        <v>57</v>
      </c>
      <c r="C22" s="34"/>
      <c r="D22" s="34"/>
      <c r="E22" s="34"/>
      <c r="F22" s="34"/>
      <c r="G22" s="34"/>
      <c r="H22" s="34"/>
      <c r="I22" s="34"/>
    </row>
    <row r="23" spans="1:9" x14ac:dyDescent="0.35">
      <c r="A23" s="9" t="s">
        <v>3</v>
      </c>
      <c r="B23" s="34">
        <v>10000</v>
      </c>
      <c r="C23" s="34"/>
      <c r="D23" s="34"/>
      <c r="E23" s="34"/>
      <c r="F23" s="34"/>
      <c r="G23" s="34"/>
      <c r="H23" s="34"/>
      <c r="I23" s="34"/>
    </row>
    <row r="24" spans="1:9" x14ac:dyDescent="0.35">
      <c r="A24" s="9" t="s">
        <v>4</v>
      </c>
      <c r="B24" s="34">
        <v>12000</v>
      </c>
      <c r="C24" s="34"/>
      <c r="D24" s="34"/>
      <c r="E24" s="34"/>
      <c r="F24" s="34"/>
      <c r="G24" s="34"/>
      <c r="H24" s="34"/>
      <c r="I24" s="34"/>
    </row>
    <row r="25" spans="1:9" x14ac:dyDescent="0.35">
      <c r="A25" s="9" t="s">
        <v>5</v>
      </c>
      <c r="B25" s="34">
        <v>14000</v>
      </c>
      <c r="C25" s="34"/>
      <c r="D25" s="34"/>
      <c r="E25" s="34"/>
      <c r="F25" s="34"/>
      <c r="G25" s="34"/>
      <c r="H25" s="34"/>
      <c r="I25" s="34"/>
    </row>
    <row r="26" spans="1:9" x14ac:dyDescent="0.35">
      <c r="A26" s="9" t="s">
        <v>58</v>
      </c>
      <c r="B26" s="34">
        <v>16000</v>
      </c>
      <c r="C26" s="34"/>
      <c r="D26" s="34"/>
      <c r="E26" s="34"/>
      <c r="F26" s="34"/>
      <c r="G26" s="34"/>
      <c r="H26" s="34"/>
      <c r="I26" s="34"/>
    </row>
    <row r="27" spans="1:9" x14ac:dyDescent="0.35">
      <c r="A27" s="9" t="s">
        <v>59</v>
      </c>
      <c r="B27" s="34">
        <v>18000</v>
      </c>
      <c r="C27" s="34"/>
      <c r="D27" s="34"/>
      <c r="E27" s="34"/>
      <c r="F27" s="34"/>
      <c r="G27" s="34"/>
      <c r="H27" s="34"/>
      <c r="I27" s="34"/>
    </row>
    <row r="28" spans="1:9" x14ac:dyDescent="0.35">
      <c r="A28" s="9" t="s">
        <v>60</v>
      </c>
      <c r="B28" s="34">
        <v>20000</v>
      </c>
      <c r="C28" s="34"/>
      <c r="D28" s="34"/>
      <c r="E28" s="34"/>
      <c r="F28" s="34"/>
      <c r="G28" s="34"/>
      <c r="H28" s="34"/>
      <c r="I28" s="34"/>
    </row>
    <row r="29" spans="1:9" x14ac:dyDescent="0.35">
      <c r="A29" s="9"/>
      <c r="B29" s="34"/>
      <c r="C29" s="34"/>
      <c r="D29" s="34"/>
      <c r="E29" s="34"/>
      <c r="F29" s="34"/>
      <c r="G29" s="34"/>
      <c r="H29" s="34"/>
      <c r="I29" s="34"/>
    </row>
    <row r="30" spans="1:9" x14ac:dyDescent="0.35">
      <c r="A30" s="10" t="s">
        <v>1</v>
      </c>
      <c r="B30" s="34"/>
      <c r="C30" s="34"/>
      <c r="D30" s="34"/>
      <c r="E30" s="34"/>
      <c r="F30" s="34"/>
      <c r="G30" s="34"/>
      <c r="H30" s="34"/>
      <c r="I30" s="34"/>
    </row>
    <row r="31" spans="1:9" x14ac:dyDescent="0.35">
      <c r="A31" s="9" t="s">
        <v>61</v>
      </c>
      <c r="B31" s="23"/>
      <c r="C31" s="23"/>
      <c r="D31" s="23"/>
      <c r="E31" s="23"/>
      <c r="F31" s="23"/>
      <c r="G31" s="23"/>
      <c r="H31" s="23"/>
      <c r="I31" s="23"/>
    </row>
    <row r="32" spans="1:9" x14ac:dyDescent="0.35">
      <c r="A32" s="9" t="s">
        <v>62</v>
      </c>
      <c r="B32" s="41"/>
      <c r="C32" s="23"/>
      <c r="D32" s="23"/>
      <c r="E32" s="23"/>
      <c r="F32" s="23"/>
      <c r="G32" s="23"/>
      <c r="H32" s="23"/>
      <c r="I32" s="23"/>
    </row>
    <row r="33" spans="1:9" x14ac:dyDescent="0.35">
      <c r="A33" s="9" t="s">
        <v>63</v>
      </c>
      <c r="B33" s="41"/>
      <c r="C33" s="23"/>
      <c r="D33" s="23"/>
      <c r="E33" s="23"/>
      <c r="F33" s="23"/>
      <c r="G33" s="23"/>
      <c r="H33" s="23"/>
      <c r="I33" s="23"/>
    </row>
    <row r="34" spans="1:9" x14ac:dyDescent="0.35">
      <c r="A34" s="9" t="s">
        <v>64</v>
      </c>
      <c r="B34" s="41"/>
      <c r="C34" s="23"/>
      <c r="D34" s="23"/>
      <c r="E34" s="23"/>
      <c r="F34" s="23"/>
      <c r="G34" s="23"/>
      <c r="H34" s="23"/>
      <c r="I34" s="23"/>
    </row>
    <row r="35" spans="1:9" x14ac:dyDescent="0.35">
      <c r="A35" s="9" t="s">
        <v>65</v>
      </c>
      <c r="B35" s="42"/>
      <c r="C35" s="43"/>
      <c r="D35" s="23"/>
      <c r="E35" s="23"/>
      <c r="F35" s="23"/>
      <c r="G35" s="23"/>
      <c r="H35" s="23"/>
      <c r="I35" s="23"/>
    </row>
    <row r="36" spans="1:9" x14ac:dyDescent="0.35">
      <c r="A36" s="9" t="s">
        <v>66</v>
      </c>
      <c r="B36" s="42"/>
      <c r="C36" s="43"/>
      <c r="D36" s="23"/>
      <c r="E36" s="23"/>
      <c r="F36" s="23"/>
      <c r="G36" s="23"/>
      <c r="H36" s="23"/>
      <c r="I36" s="23"/>
    </row>
    <row r="37" spans="1:9" x14ac:dyDescent="0.35">
      <c r="A37" s="149" t="s">
        <v>69</v>
      </c>
      <c r="B37" s="149"/>
      <c r="C37" s="149"/>
      <c r="D37" s="149"/>
      <c r="E37" s="149"/>
      <c r="F37" s="149"/>
      <c r="G37" s="149"/>
      <c r="H37" s="149"/>
      <c r="I37" s="149"/>
    </row>
    <row r="38" spans="1:9" x14ac:dyDescent="0.35">
      <c r="A38" s="9" t="s">
        <v>67</v>
      </c>
      <c r="B38" s="34"/>
      <c r="C38" s="34"/>
      <c r="D38" s="34"/>
      <c r="E38" s="34"/>
      <c r="F38" s="34"/>
      <c r="G38" s="34"/>
      <c r="H38" s="34"/>
      <c r="I38" s="34"/>
    </row>
    <row r="39" spans="1:9" x14ac:dyDescent="0.35">
      <c r="A39" s="9" t="s">
        <v>68</v>
      </c>
      <c r="B39" s="34"/>
      <c r="C39" s="34"/>
      <c r="D39" s="34"/>
      <c r="E39" s="34"/>
      <c r="F39" s="34"/>
      <c r="G39" s="34"/>
      <c r="H39" s="34"/>
      <c r="I39" s="34"/>
    </row>
    <row r="40" spans="1:9" x14ac:dyDescent="0.35">
      <c r="A40" s="23"/>
      <c r="B40" s="23"/>
      <c r="C40" s="23"/>
      <c r="D40" s="23"/>
      <c r="E40" s="23"/>
      <c r="F40" s="23"/>
      <c r="G40" s="23"/>
      <c r="H40" s="23"/>
      <c r="I40" s="23"/>
    </row>
    <row r="41" spans="1:9" x14ac:dyDescent="0.35">
      <c r="A41" s="25" t="s">
        <v>1</v>
      </c>
      <c r="B41" s="23"/>
      <c r="C41" s="23"/>
      <c r="D41" s="23"/>
      <c r="E41" s="23"/>
      <c r="F41" s="23"/>
      <c r="G41" s="23"/>
      <c r="H41" s="23"/>
      <c r="I41" s="23"/>
    </row>
    <row r="42" spans="1:9" x14ac:dyDescent="0.35">
      <c r="A42" s="9" t="s">
        <v>70</v>
      </c>
      <c r="B42" s="9"/>
      <c r="C42" s="9"/>
      <c r="D42" s="9"/>
      <c r="E42" s="9"/>
      <c r="F42" s="9"/>
      <c r="G42" s="9"/>
      <c r="H42" s="9"/>
      <c r="I42" s="9"/>
    </row>
    <row r="43" spans="1:9" x14ac:dyDescent="0.35">
      <c r="A43" s="9" t="s">
        <v>71</v>
      </c>
      <c r="B43" s="9"/>
      <c r="C43" s="9"/>
      <c r="D43" s="9"/>
      <c r="E43" s="9"/>
      <c r="F43" s="9"/>
      <c r="G43" s="9"/>
      <c r="H43" s="9"/>
      <c r="I43" s="9"/>
    </row>
    <row r="45" spans="1:9" x14ac:dyDescent="0.35">
      <c r="D45" s="44"/>
    </row>
    <row r="46" spans="1:9" x14ac:dyDescent="0.35">
      <c r="D46" s="44"/>
    </row>
    <row r="47" spans="1:9" x14ac:dyDescent="0.35">
      <c r="D47" s="44"/>
    </row>
    <row r="48" spans="1:9" x14ac:dyDescent="0.35">
      <c r="D48" s="44"/>
    </row>
    <row r="49" spans="4:4" x14ac:dyDescent="0.35">
      <c r="D49" s="44"/>
    </row>
    <row r="50" spans="4:4" x14ac:dyDescent="0.35">
      <c r="D50" s="44"/>
    </row>
  </sheetData>
  <mergeCells count="3">
    <mergeCell ref="A3:I3"/>
    <mergeCell ref="A18:I18"/>
    <mergeCell ref="A37:I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Sheet2</vt:lpstr>
      <vt:lpstr>BDA DECEMBER 2022 Q25</vt:lpstr>
      <vt:lpstr>BDA APRIL 2023 Q22</vt:lpstr>
      <vt:lpstr>BDA AUGUST 2023 Q23</vt:lpstr>
      <vt:lpstr>BDA DECEMBER 2023 Q23</vt:lpstr>
      <vt:lpstr>BDA APRIL 2024 Q23</vt:lpstr>
      <vt:lpstr>BDA AUGUST 2024 Q23 (2)</vt:lpstr>
      <vt:lpstr>BDA AUGUST 2024 Q23</vt:lpstr>
      <vt:lpstr>BEP ANALYSIS</vt:lpstr>
      <vt:lpstr>FUNCTIONAL BUDGET</vt:lpstr>
      <vt:lpstr>CASH BUDGET</vt:lpstr>
      <vt:lpstr>FLEXED BUDGET AND VARIANCES Q1</vt:lpstr>
      <vt:lpstr>FLEXED BUDGET AND VARIANCES Q2</vt:lpstr>
      <vt:lpstr>BDA DECEMBER 2024 Q23</vt:lpstr>
      <vt:lpstr>FMDA AUGUST 2024 Q21b</vt:lpstr>
      <vt:lpstr>BDA APRIL 2025 Q23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OMONDI OTIENO</dc:creator>
  <cp:lastModifiedBy>OMONDI OTIENO</cp:lastModifiedBy>
  <dcterms:created xsi:type="dcterms:W3CDTF">2024-10-28T14:31:19Z</dcterms:created>
  <dcterms:modified xsi:type="dcterms:W3CDTF">2025-08-11T19:01:39Z</dcterms:modified>
</cp:coreProperties>
</file>