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CLINTON 2025\BACKED DATA\CPA ITEMS\BDA\BDA SEPTEMBER-DECEMBER 2025\"/>
    </mc:Choice>
  </mc:AlternateContent>
  <xr:revisionPtr revIDLastSave="0" documentId="13_ncr:1_{AAB8A29E-FD10-4012-A040-17F687A51FFA}" xr6:coauthVersionLast="47" xr6:coauthVersionMax="47" xr10:uidLastSave="{00000000-0000-0000-0000-000000000000}"/>
  <bookViews>
    <workbookView xWindow="-110" yWindow="-110" windowWidth="19420" windowHeight="10300" firstSheet="9" activeTab="10" xr2:uid="{3B5A57BA-CB0E-44B8-AAE5-C53E9FABFD9F}"/>
  </bookViews>
  <sheets>
    <sheet name="Scenario Summary" sheetId="19" r:id="rId1"/>
    <sheet name="BDA PILOT DEC 2022 Q23" sheetId="5" r:id="rId2"/>
    <sheet name="BDA DECMBER 2022 Q22" sheetId="6" r:id="rId3"/>
    <sheet name="BDA DECMBER 2022 Q23" sheetId="8" r:id="rId4"/>
    <sheet name="BDA APRIL 2023 Q21" sheetId="7" r:id="rId5"/>
    <sheet name="Scenario Summary 2" sheetId="26" r:id="rId6"/>
    <sheet name="BDA AUGUST 2023 Q22" sheetId="9" r:id="rId7"/>
    <sheet name="BDA DECEMBER 2023 Q22" sheetId="10" r:id="rId8"/>
    <sheet name="LOAN SCHEDULE &amp; DATA TABLE Q1" sheetId="1" r:id="rId9"/>
    <sheet name="BDA AUGUST 2024 Q22 LOAN S" sheetId="11" r:id="rId10"/>
    <sheet name="FMDA APRIL 2024 Q24 CB" sheetId="2" r:id="rId11"/>
    <sheet name="FMDA APRIL 2024 Q22 CB" sheetId="3" r:id="rId12"/>
    <sheet name="JAWABU LIMITED" sheetId="14" r:id="rId13"/>
    <sheet name="BDA DECEMBER 2024 Q22" sheetId="15" r:id="rId14"/>
    <sheet name="BDA APRIL 2025 Q22" sheetId="16" r:id="rId15"/>
    <sheet name="FMDA APRIL 2025 Q21" sheetId="17" r:id="rId16"/>
    <sheet name="BDA AUGUST 2025 Q22" sheetId="18" r:id="rId17"/>
    <sheet name="Sheet2" sheetId="20" r:id="rId18"/>
  </sheets>
  <definedNames>
    <definedName name="Annual_number_of_units_sold">'BDA AUGUST 2023 Q22'!$I$8</definedName>
    <definedName name="Annual_units_sold">'BDA AUGUST 2023 Q22'!#REF!</definedName>
    <definedName name="Fixed_costs_per_year">'BDA AUGUST 2023 Q22'!$I$7</definedName>
    <definedName name="Initial_capital_cost">'BDA AUGUST 2023 Q22'!$I$3</definedName>
    <definedName name="NPV">'BDA AUGUST 2023 Q22'!$I$24</definedName>
    <definedName name="PV_of_the_Irregular_cashflows_NPV">'BDA AUGUST 2023 Q22'!$I$21</definedName>
    <definedName name="PV_of_the_regular_cashflows__PV">'BDA AUGUST 2023 Q22'!$I$20</definedName>
    <definedName name="Residual_value">'BDA AUGUST 2023 Q22'!$I$4</definedName>
    <definedName name="Selling_price_per_unit">'BDA AUGUST 2023 Q22'!$I$5</definedName>
    <definedName name="Total_PV_of_the_cashflows">'BDA AUGUST 2023 Q22'!$I$22</definedName>
    <definedName name="Variable_cost_per_unit">'BDA AUGUST 2023 Q22'!$I$6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Y7" i="2" l="1"/>
  <c r="BA11" i="2" s="1"/>
  <c r="AP7" i="2"/>
  <c r="AR11" i="2" s="1"/>
  <c r="AZ10" i="2"/>
  <c r="BB10" i="2" s="1"/>
  <c r="BA15" i="2"/>
  <c r="BA16" i="2"/>
  <c r="BA17" i="2"/>
  <c r="BA18" i="2"/>
  <c r="BA19" i="2"/>
  <c r="BA10" i="2"/>
  <c r="AR14" i="2"/>
  <c r="AR19" i="2"/>
  <c r="AR10" i="2"/>
  <c r="AT10" i="2" s="1"/>
  <c r="AU10" i="2" s="1"/>
  <c r="AQ11" i="2" s="1"/>
  <c r="AQ10" i="2"/>
  <c r="X80" i="2"/>
  <c r="AE79" i="2"/>
  <c r="AC79" i="2"/>
  <c r="AB79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AA103" i="2"/>
  <c r="AA104" i="2"/>
  <c r="AA105" i="2"/>
  <c r="AA106" i="2"/>
  <c r="AA107" i="2"/>
  <c r="AA108" i="2"/>
  <c r="AA109" i="2"/>
  <c r="AA110" i="2"/>
  <c r="AA111" i="2"/>
  <c r="AA112" i="2"/>
  <c r="AA113" i="2"/>
  <c r="AA114" i="2"/>
  <c r="AA115" i="2"/>
  <c r="AA116" i="2"/>
  <c r="AA117" i="2"/>
  <c r="AA118" i="2"/>
  <c r="AA119" i="2"/>
  <c r="AA120" i="2"/>
  <c r="AA121" i="2"/>
  <c r="AA122" i="2"/>
  <c r="AA123" i="2"/>
  <c r="AA124" i="2"/>
  <c r="AA125" i="2"/>
  <c r="AA126" i="2"/>
  <c r="AA127" i="2"/>
  <c r="Z79" i="2"/>
  <c r="AB78" i="2"/>
  <c r="AA78" i="2"/>
  <c r="V80" i="2"/>
  <c r="AA70" i="2"/>
  <c r="AA71" i="2"/>
  <c r="AA72" i="2"/>
  <c r="AA73" i="2"/>
  <c r="AA74" i="2"/>
  <c r="AA75" i="2"/>
  <c r="V58" i="2"/>
  <c r="AA76" i="2" s="1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28" i="2"/>
  <c r="Z8" i="2"/>
  <c r="X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8" i="2"/>
  <c r="Z15" i="11"/>
  <c r="Z14" i="11"/>
  <c r="W14" i="11"/>
  <c r="U14" i="11"/>
  <c r="D33" i="11"/>
  <c r="E33" i="11"/>
  <c r="F33" i="11"/>
  <c r="G33" i="11"/>
  <c r="C33" i="11"/>
  <c r="AD14" i="11"/>
  <c r="AD15" i="11"/>
  <c r="AD16" i="11"/>
  <c r="AD17" i="11"/>
  <c r="AD18" i="11"/>
  <c r="AD19" i="11"/>
  <c r="AD20" i="11"/>
  <c r="AD21" i="11"/>
  <c r="AD22" i="11"/>
  <c r="AD23" i="11"/>
  <c r="AD24" i="11"/>
  <c r="AD25" i="11"/>
  <c r="AD26" i="11"/>
  <c r="AD27" i="11"/>
  <c r="AD28" i="11"/>
  <c r="AD29" i="11"/>
  <c r="AD30" i="11"/>
  <c r="AD31" i="11"/>
  <c r="AD32" i="11"/>
  <c r="AD33" i="11"/>
  <c r="AD34" i="11"/>
  <c r="AD35" i="11"/>
  <c r="AD36" i="11"/>
  <c r="AD37" i="11"/>
  <c r="AD38" i="11"/>
  <c r="AD39" i="11"/>
  <c r="AD40" i="11"/>
  <c r="AD41" i="11"/>
  <c r="AD42" i="11"/>
  <c r="AD43" i="11"/>
  <c r="AD44" i="11"/>
  <c r="AD45" i="11"/>
  <c r="AD46" i="11"/>
  <c r="AD47" i="11"/>
  <c r="AD48" i="11"/>
  <c r="AD49" i="11"/>
  <c r="AD50" i="11"/>
  <c r="AD51" i="11"/>
  <c r="AD52" i="11"/>
  <c r="AD53" i="11"/>
  <c r="AD54" i="11"/>
  <c r="AD55" i="11"/>
  <c r="AD56" i="11"/>
  <c r="AD57" i="11"/>
  <c r="AD58" i="11"/>
  <c r="AD59" i="11"/>
  <c r="AD60" i="11"/>
  <c r="AD61" i="11"/>
  <c r="AD62" i="11"/>
  <c r="AD63" i="11"/>
  <c r="AD64" i="11"/>
  <c r="AD65" i="11"/>
  <c r="AD66" i="11"/>
  <c r="AD67" i="11"/>
  <c r="AD68" i="11"/>
  <c r="AD69" i="11"/>
  <c r="AD70" i="11"/>
  <c r="AD71" i="11"/>
  <c r="AD72" i="11"/>
  <c r="AD73" i="11"/>
  <c r="AE13" i="11"/>
  <c r="AD13" i="11"/>
  <c r="S14" i="11"/>
  <c r="P10" i="11"/>
  <c r="P9" i="11"/>
  <c r="N25" i="18"/>
  <c r="N26" i="18"/>
  <c r="N27" i="18"/>
  <c r="N28" i="18"/>
  <c r="N29" i="18"/>
  <c r="N30" i="18"/>
  <c r="N31" i="18"/>
  <c r="N32" i="18"/>
  <c r="N33" i="18"/>
  <c r="N34" i="18"/>
  <c r="N35" i="18"/>
  <c r="N36" i="18"/>
  <c r="N37" i="18"/>
  <c r="N38" i="18"/>
  <c r="N39" i="18"/>
  <c r="N40" i="18"/>
  <c r="N41" i="18"/>
  <c r="N42" i="18"/>
  <c r="N43" i="18"/>
  <c r="N44" i="18"/>
  <c r="N45" i="18"/>
  <c r="N46" i="18"/>
  <c r="N47" i="18"/>
  <c r="N48" i="18"/>
  <c r="N49" i="18"/>
  <c r="N50" i="18"/>
  <c r="N51" i="18"/>
  <c r="N52" i="18"/>
  <c r="N53" i="18"/>
  <c r="N54" i="18"/>
  <c r="N55" i="18"/>
  <c r="N56" i="18"/>
  <c r="N57" i="18"/>
  <c r="N58" i="18"/>
  <c r="N59" i="18"/>
  <c r="N60" i="18"/>
  <c r="N61" i="18"/>
  <c r="N62" i="18"/>
  <c r="N63" i="18"/>
  <c r="N64" i="18"/>
  <c r="N65" i="18"/>
  <c r="N66" i="18"/>
  <c r="N67" i="18"/>
  <c r="N68" i="18"/>
  <c r="N69" i="18"/>
  <c r="N70" i="18"/>
  <c r="N71" i="18"/>
  <c r="N72" i="18"/>
  <c r="N73" i="18"/>
  <c r="N74" i="18"/>
  <c r="N75" i="18"/>
  <c r="N76" i="18"/>
  <c r="N18" i="18"/>
  <c r="N19" i="18"/>
  <c r="N20" i="18"/>
  <c r="N21" i="18"/>
  <c r="N22" i="18"/>
  <c r="N23" i="18"/>
  <c r="N24" i="18"/>
  <c r="N17" i="18"/>
  <c r="M17" i="18"/>
  <c r="M18" i="18"/>
  <c r="M19" i="18"/>
  <c r="M20" i="18"/>
  <c r="M21" i="18"/>
  <c r="M22" i="18"/>
  <c r="M23" i="18"/>
  <c r="M24" i="18"/>
  <c r="M25" i="18"/>
  <c r="M26" i="18"/>
  <c r="M27" i="18"/>
  <c r="M28" i="18"/>
  <c r="M29" i="18"/>
  <c r="M30" i="18"/>
  <c r="M31" i="18"/>
  <c r="M32" i="18"/>
  <c r="M33" i="18"/>
  <c r="M34" i="18"/>
  <c r="M35" i="18"/>
  <c r="M36" i="18"/>
  <c r="M37" i="18"/>
  <c r="M38" i="18"/>
  <c r="M39" i="18"/>
  <c r="M40" i="18"/>
  <c r="M41" i="18"/>
  <c r="M42" i="18"/>
  <c r="M43" i="18"/>
  <c r="M44" i="18"/>
  <c r="M45" i="18"/>
  <c r="M46" i="18"/>
  <c r="M47" i="18"/>
  <c r="M48" i="18"/>
  <c r="M49" i="18"/>
  <c r="M50" i="18"/>
  <c r="M51" i="18"/>
  <c r="M52" i="18"/>
  <c r="M53" i="18"/>
  <c r="M54" i="18"/>
  <c r="M55" i="18"/>
  <c r="M56" i="18"/>
  <c r="M57" i="18"/>
  <c r="M58" i="18"/>
  <c r="M59" i="18"/>
  <c r="M60" i="18"/>
  <c r="M61" i="18"/>
  <c r="M62" i="18"/>
  <c r="M63" i="18"/>
  <c r="M64" i="18"/>
  <c r="M65" i="18"/>
  <c r="M66" i="18"/>
  <c r="M67" i="18"/>
  <c r="M68" i="18"/>
  <c r="M69" i="18"/>
  <c r="M70" i="18"/>
  <c r="M71" i="18"/>
  <c r="M72" i="18"/>
  <c r="M73" i="18"/>
  <c r="M74" i="18"/>
  <c r="M75" i="18"/>
  <c r="M76" i="18"/>
  <c r="O16" i="18"/>
  <c r="K17" i="18" s="1"/>
  <c r="L75" i="18"/>
  <c r="L76" i="18"/>
  <c r="L17" i="18"/>
  <c r="L18" i="18"/>
  <c r="L19" i="18"/>
  <c r="L20" i="18"/>
  <c r="L21" i="18"/>
  <c r="L22" i="18"/>
  <c r="L23" i="18"/>
  <c r="L24" i="18"/>
  <c r="L25" i="18"/>
  <c r="L26" i="18"/>
  <c r="L27" i="18"/>
  <c r="L28" i="18"/>
  <c r="L29" i="18"/>
  <c r="L30" i="18"/>
  <c r="L31" i="18"/>
  <c r="L32" i="18"/>
  <c r="L33" i="18"/>
  <c r="L34" i="18"/>
  <c r="L35" i="18"/>
  <c r="L36" i="18"/>
  <c r="L37" i="18"/>
  <c r="L38" i="18"/>
  <c r="L39" i="18"/>
  <c r="L40" i="18"/>
  <c r="L41" i="18"/>
  <c r="L42" i="18"/>
  <c r="L43" i="18"/>
  <c r="L44" i="18"/>
  <c r="L45" i="18"/>
  <c r="L46" i="18"/>
  <c r="L47" i="18"/>
  <c r="L48" i="18"/>
  <c r="L49" i="18"/>
  <c r="L50" i="18"/>
  <c r="L51" i="18"/>
  <c r="L52" i="18"/>
  <c r="L53" i="18"/>
  <c r="L54" i="18"/>
  <c r="L55" i="18"/>
  <c r="L56" i="18"/>
  <c r="L57" i="18"/>
  <c r="L58" i="18"/>
  <c r="L59" i="18"/>
  <c r="L60" i="18"/>
  <c r="L61" i="18"/>
  <c r="L62" i="18"/>
  <c r="L63" i="18"/>
  <c r="L64" i="18"/>
  <c r="L65" i="18"/>
  <c r="L66" i="18"/>
  <c r="L67" i="18"/>
  <c r="L68" i="18"/>
  <c r="L69" i="18"/>
  <c r="L70" i="18"/>
  <c r="L71" i="18"/>
  <c r="L72" i="18"/>
  <c r="L73" i="18"/>
  <c r="L74" i="18"/>
  <c r="I10" i="18"/>
  <c r="I9" i="18"/>
  <c r="BA14" i="2" l="1"/>
  <c r="BA13" i="2"/>
  <c r="BA12" i="2"/>
  <c r="BC10" i="2"/>
  <c r="BD10" i="2" s="1"/>
  <c r="AZ11" i="2" s="1"/>
  <c r="BB11" i="2" s="1"/>
  <c r="BC11" i="2" s="1"/>
  <c r="BD11" i="2" s="1"/>
  <c r="AZ12" i="2" s="1"/>
  <c r="BB12" i="2" s="1"/>
  <c r="BC12" i="2" s="1"/>
  <c r="BD12" i="2" s="1"/>
  <c r="AZ13" i="2" s="1"/>
  <c r="AR18" i="2"/>
  <c r="AR17" i="2"/>
  <c r="AR16" i="2"/>
  <c r="AR15" i="2"/>
  <c r="AR13" i="2"/>
  <c r="AR12" i="2"/>
  <c r="AS11" i="2"/>
  <c r="AT11" i="2" s="1"/>
  <c r="AU11" i="2" s="1"/>
  <c r="AQ12" i="2" s="1"/>
  <c r="AB8" i="2"/>
  <c r="AC8" i="2" s="1"/>
  <c r="AE8" i="2" s="1"/>
  <c r="X9" i="2" s="1"/>
  <c r="Z9" i="2" s="1"/>
  <c r="AA69" i="2"/>
  <c r="AA56" i="2"/>
  <c r="AA68" i="2"/>
  <c r="AA60" i="2"/>
  <c r="AA67" i="2"/>
  <c r="AA59" i="2"/>
  <c r="AA66" i="2"/>
  <c r="AA58" i="2"/>
  <c r="AA65" i="2"/>
  <c r="AA57" i="2"/>
  <c r="AA64" i="2"/>
  <c r="AA63" i="2"/>
  <c r="AA62" i="2"/>
  <c r="AA77" i="2"/>
  <c r="AA61" i="2"/>
  <c r="P12" i="11"/>
  <c r="V67" i="11"/>
  <c r="V51" i="11"/>
  <c r="V35" i="11"/>
  <c r="V19" i="11"/>
  <c r="V64" i="11"/>
  <c r="V48" i="11"/>
  <c r="V32" i="11"/>
  <c r="O17" i="18"/>
  <c r="K18" i="18" s="1"/>
  <c r="I12" i="18"/>
  <c r="AS12" i="2" l="1"/>
  <c r="AT12" i="2" s="1"/>
  <c r="AU12" i="2" s="1"/>
  <c r="AQ13" i="2" s="1"/>
  <c r="AS13" i="2" s="1"/>
  <c r="AT13" i="2" s="1"/>
  <c r="AU13" i="2" s="1"/>
  <c r="AQ14" i="2" s="1"/>
  <c r="BB13" i="2"/>
  <c r="BC13" i="2" s="1"/>
  <c r="BD13" i="2" s="1"/>
  <c r="AZ14" i="2" s="1"/>
  <c r="AB9" i="2"/>
  <c r="AC9" i="2" s="1"/>
  <c r="AE9" i="2" s="1"/>
  <c r="X10" i="2" s="1"/>
  <c r="Z10" i="2" s="1"/>
  <c r="V16" i="11"/>
  <c r="V27" i="11"/>
  <c r="V45" i="11"/>
  <c r="V63" i="11"/>
  <c r="V28" i="11"/>
  <c r="V46" i="11"/>
  <c r="V65" i="11"/>
  <c r="V31" i="11"/>
  <c r="V69" i="11"/>
  <c r="V33" i="11"/>
  <c r="V52" i="11"/>
  <c r="V15" i="11"/>
  <c r="V71" i="11"/>
  <c r="V17" i="11"/>
  <c r="V54" i="11"/>
  <c r="V18" i="11"/>
  <c r="V55" i="11"/>
  <c r="V20" i="11"/>
  <c r="V56" i="11"/>
  <c r="V39" i="11"/>
  <c r="V40" i="11"/>
  <c r="V41" i="11"/>
  <c r="V42" i="11"/>
  <c r="V25" i="11"/>
  <c r="V61" i="11"/>
  <c r="V26" i="11"/>
  <c r="V62" i="11"/>
  <c r="V29" i="11"/>
  <c r="V47" i="11"/>
  <c r="V66" i="11"/>
  <c r="V30" i="11"/>
  <c r="V49" i="11"/>
  <c r="V68" i="11"/>
  <c r="V50" i="11"/>
  <c r="V70" i="11"/>
  <c r="V34" i="11"/>
  <c r="V53" i="11"/>
  <c r="V36" i="11"/>
  <c r="V72" i="11"/>
  <c r="V37" i="11"/>
  <c r="V73" i="11"/>
  <c r="V38" i="11"/>
  <c r="V14" i="11"/>
  <c r="X14" i="11" s="1"/>
  <c r="V21" i="11"/>
  <c r="V57" i="11"/>
  <c r="V22" i="11"/>
  <c r="V58" i="11"/>
  <c r="V23" i="11"/>
  <c r="V59" i="11"/>
  <c r="V24" i="11"/>
  <c r="V60" i="11"/>
  <c r="V43" i="11"/>
  <c r="V44" i="11"/>
  <c r="O18" i="18"/>
  <c r="K19" i="18" s="1"/>
  <c r="BF14" i="11"/>
  <c r="BF13" i="11"/>
  <c r="BH19" i="11"/>
  <c r="K58" i="9"/>
  <c r="L58" i="9"/>
  <c r="M58" i="9"/>
  <c r="N58" i="9"/>
  <c r="O58" i="9"/>
  <c r="J58" i="9"/>
  <c r="I58" i="9"/>
  <c r="J57" i="9"/>
  <c r="K57" i="9"/>
  <c r="L57" i="9"/>
  <c r="M57" i="9"/>
  <c r="N57" i="9"/>
  <c r="O57" i="9"/>
  <c r="I57" i="9"/>
  <c r="O8" i="9"/>
  <c r="O7" i="9"/>
  <c r="O14" i="9" s="1"/>
  <c r="N7" i="9"/>
  <c r="N14" i="9" s="1"/>
  <c r="N6" i="9"/>
  <c r="M6" i="9"/>
  <c r="M5" i="9"/>
  <c r="N5" i="9" s="1"/>
  <c r="O5" i="9" s="1"/>
  <c r="L5" i="9"/>
  <c r="L4" i="9"/>
  <c r="L18" i="9" s="1"/>
  <c r="L21" i="9" s="1"/>
  <c r="K4" i="9"/>
  <c r="K18" i="9" s="1"/>
  <c r="K21" i="9" s="1"/>
  <c r="K3" i="9"/>
  <c r="J4" i="9"/>
  <c r="J18" i="9" s="1"/>
  <c r="J21" i="9" s="1"/>
  <c r="J3" i="9"/>
  <c r="J8" i="9"/>
  <c r="K8" i="9" s="1"/>
  <c r="L8" i="9" s="1"/>
  <c r="M8" i="9" s="1"/>
  <c r="N8" i="9" s="1"/>
  <c r="J7" i="9"/>
  <c r="J14" i="9" s="1"/>
  <c r="J6" i="9"/>
  <c r="J5" i="9"/>
  <c r="K5" i="9" s="1"/>
  <c r="I18" i="9"/>
  <c r="I21" i="9" s="1"/>
  <c r="I14" i="9"/>
  <c r="I13" i="9"/>
  <c r="I12" i="9"/>
  <c r="I36" i="9"/>
  <c r="I37" i="9" s="1"/>
  <c r="N35" i="9"/>
  <c r="K32" i="9"/>
  <c r="L32" i="9"/>
  <c r="M32" i="9"/>
  <c r="N32" i="9"/>
  <c r="J32" i="9"/>
  <c r="K30" i="9"/>
  <c r="L30" i="9"/>
  <c r="M30" i="9"/>
  <c r="N30" i="9"/>
  <c r="J30" i="9"/>
  <c r="J29" i="9"/>
  <c r="K29" i="9"/>
  <c r="L29" i="9"/>
  <c r="M29" i="9"/>
  <c r="N29" i="9"/>
  <c r="Q93" i="6"/>
  <c r="Q94" i="6" s="1"/>
  <c r="Q95" i="6" s="1"/>
  <c r="Q96" i="6" s="1"/>
  <c r="Q92" i="6"/>
  <c r="Q91" i="6"/>
  <c r="P92" i="6"/>
  <c r="P93" i="6"/>
  <c r="P94" i="6"/>
  <c r="P95" i="6"/>
  <c r="P96" i="6"/>
  <c r="P91" i="6"/>
  <c r="O92" i="6"/>
  <c r="O93" i="6"/>
  <c r="O94" i="6"/>
  <c r="O95" i="6"/>
  <c r="O96" i="6"/>
  <c r="O91" i="6"/>
  <c r="Q48" i="6"/>
  <c r="Q46" i="6"/>
  <c r="P47" i="6"/>
  <c r="P46" i="6"/>
  <c r="Q45" i="6"/>
  <c r="O44" i="6"/>
  <c r="O45" i="6"/>
  <c r="O46" i="6" s="1"/>
  <c r="O47" i="6" s="1"/>
  <c r="O43" i="6"/>
  <c r="O42" i="6"/>
  <c r="M37" i="6"/>
  <c r="M36" i="6"/>
  <c r="M35" i="6"/>
  <c r="H41" i="6"/>
  <c r="H39" i="6"/>
  <c r="H38" i="6"/>
  <c r="N31" i="6"/>
  <c r="O31" i="6"/>
  <c r="P31" i="6"/>
  <c r="Q31" i="6"/>
  <c r="R31" i="6"/>
  <c r="M31" i="6"/>
  <c r="R29" i="6"/>
  <c r="M83" i="6"/>
  <c r="M84" i="6" s="1"/>
  <c r="M86" i="6" s="1"/>
  <c r="R69" i="6"/>
  <c r="O68" i="6"/>
  <c r="M82" i="6"/>
  <c r="R28" i="6"/>
  <c r="N27" i="6"/>
  <c r="O27" i="6"/>
  <c r="P27" i="6"/>
  <c r="Q27" i="6"/>
  <c r="R27" i="6"/>
  <c r="M27" i="6"/>
  <c r="N56" i="6"/>
  <c r="N57" i="6" s="1"/>
  <c r="O56" i="6"/>
  <c r="O57" i="6" s="1"/>
  <c r="P56" i="6"/>
  <c r="P57" i="6" s="1"/>
  <c r="Q56" i="6"/>
  <c r="Q57" i="6" s="1"/>
  <c r="R56" i="6"/>
  <c r="R57" i="6" s="1"/>
  <c r="L55" i="6"/>
  <c r="M21" i="6"/>
  <c r="M77" i="6"/>
  <c r="M78" i="6" s="1"/>
  <c r="M67" i="6"/>
  <c r="M69" i="6" s="1"/>
  <c r="N65" i="6" s="1"/>
  <c r="N67" i="6" s="1"/>
  <c r="F29" i="6"/>
  <c r="F28" i="6"/>
  <c r="F27" i="6"/>
  <c r="R11" i="6"/>
  <c r="N10" i="6"/>
  <c r="O10" i="6" s="1"/>
  <c r="O7" i="6"/>
  <c r="P7" i="6" s="1"/>
  <c r="Q7" i="6" s="1"/>
  <c r="R7" i="6" s="1"/>
  <c r="O8" i="6"/>
  <c r="P8" i="6" s="1"/>
  <c r="Q8" i="6" s="1"/>
  <c r="R8" i="6" s="1"/>
  <c r="O9" i="6"/>
  <c r="P9" i="6" s="1"/>
  <c r="Q9" i="6" s="1"/>
  <c r="O6" i="6"/>
  <c r="P6" i="6" s="1"/>
  <c r="Q6" i="6" s="1"/>
  <c r="R6" i="6" s="1"/>
  <c r="Q5" i="8"/>
  <c r="Q8" i="8" s="1"/>
  <c r="L12" i="8"/>
  <c r="Q14" i="8" s="1"/>
  <c r="Q6" i="8"/>
  <c r="N62" i="8"/>
  <c r="O61" i="8"/>
  <c r="M58" i="8"/>
  <c r="M59" i="8" s="1"/>
  <c r="M60" i="8" s="1"/>
  <c r="M61" i="8" s="1"/>
  <c r="M5" i="8"/>
  <c r="N5" i="8" s="1"/>
  <c r="M6" i="8"/>
  <c r="N6" i="8" s="1"/>
  <c r="M7" i="8"/>
  <c r="N7" i="8" s="1"/>
  <c r="M8" i="8"/>
  <c r="N8" i="8" s="1"/>
  <c r="M4" i="8"/>
  <c r="N4" i="8" s="1"/>
  <c r="N16" i="8" s="1"/>
  <c r="N51" i="8"/>
  <c r="O51" i="8" s="1"/>
  <c r="O53" i="8" s="1"/>
  <c r="M49" i="8"/>
  <c r="M50" i="8" s="1"/>
  <c r="M51" i="8" s="1"/>
  <c r="M52" i="8" s="1"/>
  <c r="N39" i="8"/>
  <c r="M36" i="8"/>
  <c r="M37" i="8" s="1"/>
  <c r="M38" i="8" s="1"/>
  <c r="M54" i="5"/>
  <c r="N54" i="5"/>
  <c r="O54" i="5"/>
  <c r="P54" i="5"/>
  <c r="Q54" i="5"/>
  <c r="R54" i="5"/>
  <c r="S54" i="5"/>
  <c r="T54" i="5"/>
  <c r="U54" i="5"/>
  <c r="L54" i="5"/>
  <c r="U53" i="5"/>
  <c r="M53" i="5"/>
  <c r="N53" i="5"/>
  <c r="O53" i="5"/>
  <c r="P53" i="5"/>
  <c r="Q53" i="5"/>
  <c r="R53" i="5"/>
  <c r="S53" i="5"/>
  <c r="T53" i="5"/>
  <c r="L53" i="5"/>
  <c r="S11" i="5"/>
  <c r="T11" i="5"/>
  <c r="U11" i="5"/>
  <c r="U12" i="5" s="1"/>
  <c r="S12" i="5"/>
  <c r="T12" i="5"/>
  <c r="S13" i="5"/>
  <c r="R11" i="5"/>
  <c r="M24" i="5"/>
  <c r="N24" i="5"/>
  <c r="O24" i="5"/>
  <c r="P24" i="5"/>
  <c r="Q24" i="5"/>
  <c r="R24" i="5"/>
  <c r="M13" i="5"/>
  <c r="N13" i="5"/>
  <c r="O13" i="5"/>
  <c r="P13" i="5"/>
  <c r="Q13" i="5"/>
  <c r="R13" i="5"/>
  <c r="M14" i="5"/>
  <c r="N14" i="5"/>
  <c r="O14" i="5"/>
  <c r="P14" i="5"/>
  <c r="Q14" i="5"/>
  <c r="Q15" i="5" s="1"/>
  <c r="Q16" i="5" s="1"/>
  <c r="Q17" i="5" s="1"/>
  <c r="Q18" i="5" s="1"/>
  <c r="Q19" i="5" s="1"/>
  <c r="Q20" i="5" s="1"/>
  <c r="Q21" i="5" s="1"/>
  <c r="Q22" i="5" s="1"/>
  <c r="R14" i="5"/>
  <c r="R15" i="5" s="1"/>
  <c r="R16" i="5" s="1"/>
  <c r="R17" i="5" s="1"/>
  <c r="R18" i="5" s="1"/>
  <c r="R19" i="5" s="1"/>
  <c r="R20" i="5" s="1"/>
  <c r="R21" i="5" s="1"/>
  <c r="R22" i="5" s="1"/>
  <c r="M15" i="5"/>
  <c r="M16" i="5" s="1"/>
  <c r="M17" i="5" s="1"/>
  <c r="M18" i="5" s="1"/>
  <c r="M19" i="5" s="1"/>
  <c r="M20" i="5" s="1"/>
  <c r="M21" i="5" s="1"/>
  <c r="M22" i="5" s="1"/>
  <c r="N15" i="5"/>
  <c r="N16" i="5" s="1"/>
  <c r="N17" i="5" s="1"/>
  <c r="N18" i="5" s="1"/>
  <c r="N19" i="5" s="1"/>
  <c r="N20" i="5" s="1"/>
  <c r="N21" i="5" s="1"/>
  <c r="N22" i="5" s="1"/>
  <c r="O15" i="5"/>
  <c r="O16" i="5" s="1"/>
  <c r="O17" i="5" s="1"/>
  <c r="O18" i="5" s="1"/>
  <c r="O19" i="5" s="1"/>
  <c r="O20" i="5" s="1"/>
  <c r="O21" i="5" s="1"/>
  <c r="O22" i="5" s="1"/>
  <c r="P15" i="5"/>
  <c r="P16" i="5" s="1"/>
  <c r="P17" i="5" s="1"/>
  <c r="P18" i="5" s="1"/>
  <c r="P19" i="5" s="1"/>
  <c r="P20" i="5" s="1"/>
  <c r="P21" i="5" s="1"/>
  <c r="P22" i="5" s="1"/>
  <c r="M12" i="5"/>
  <c r="N12" i="5"/>
  <c r="O12" i="5"/>
  <c r="P12" i="5"/>
  <c r="Q12" i="5"/>
  <c r="R12" i="5"/>
  <c r="M11" i="5"/>
  <c r="N11" i="5"/>
  <c r="O11" i="5"/>
  <c r="P11" i="5"/>
  <c r="Q11" i="5"/>
  <c r="L11" i="5"/>
  <c r="L12" i="5" s="1"/>
  <c r="W16" i="8"/>
  <c r="W17" i="8"/>
  <c r="W18" i="8"/>
  <c r="W19" i="8"/>
  <c r="W20" i="8"/>
  <c r="W21" i="8"/>
  <c r="W22" i="8"/>
  <c r="W23" i="8"/>
  <c r="W24" i="8"/>
  <c r="W25" i="8"/>
  <c r="W26" i="8"/>
  <c r="W27" i="8"/>
  <c r="W28" i="8"/>
  <c r="W29" i="8"/>
  <c r="W30" i="8"/>
  <c r="W15" i="8"/>
  <c r="F18" i="8"/>
  <c r="F16" i="8"/>
  <c r="Y9" i="8"/>
  <c r="C10" i="8"/>
  <c r="F15" i="8" s="1"/>
  <c r="O11" i="8"/>
  <c r="BB14" i="2" l="1"/>
  <c r="BC14" i="2" s="1"/>
  <c r="BD14" i="2" s="1"/>
  <c r="AZ15" i="2" s="1"/>
  <c r="AS14" i="2"/>
  <c r="AT14" i="2" s="1"/>
  <c r="AU14" i="2" s="1"/>
  <c r="AQ15" i="2" s="1"/>
  <c r="AB10" i="2"/>
  <c r="AC10" i="2" s="1"/>
  <c r="AE10" i="2" s="1"/>
  <c r="X11" i="2" s="1"/>
  <c r="Z11" i="2" s="1"/>
  <c r="AB11" i="2" s="1"/>
  <c r="AC11" i="2" s="1"/>
  <c r="AE11" i="2" s="1"/>
  <c r="X12" i="2" s="1"/>
  <c r="Z12" i="2" s="1"/>
  <c r="AB12" i="2" s="1"/>
  <c r="AC12" i="2" s="1"/>
  <c r="AE12" i="2" s="1"/>
  <c r="X13" i="2" s="1"/>
  <c r="Z13" i="2" s="1"/>
  <c r="AE14" i="11"/>
  <c r="S15" i="11"/>
  <c r="BJ19" i="11"/>
  <c r="O19" i="18"/>
  <c r="K20" i="18" s="1"/>
  <c r="O20" i="18" s="1"/>
  <c r="K21" i="18" s="1"/>
  <c r="BK78" i="11"/>
  <c r="BF16" i="11"/>
  <c r="BI29" i="11" s="1"/>
  <c r="BK38" i="11"/>
  <c r="BK37" i="11"/>
  <c r="BK22" i="11"/>
  <c r="BK19" i="11"/>
  <c r="BL19" i="11" s="1"/>
  <c r="BH20" i="11" s="1"/>
  <c r="BK21" i="11"/>
  <c r="BK20" i="11"/>
  <c r="BK52" i="11"/>
  <c r="BK42" i="11"/>
  <c r="BK40" i="11"/>
  <c r="BJ21" i="11"/>
  <c r="BJ40" i="11"/>
  <c r="BK51" i="11"/>
  <c r="BK35" i="11"/>
  <c r="BJ35" i="11"/>
  <c r="BK49" i="11"/>
  <c r="BK31" i="11"/>
  <c r="BK30" i="11"/>
  <c r="BJ33" i="11"/>
  <c r="BK28" i="11"/>
  <c r="BJ32" i="11"/>
  <c r="BK46" i="11"/>
  <c r="BK27" i="11"/>
  <c r="BJ31" i="11"/>
  <c r="BK26" i="11"/>
  <c r="BJ30" i="11"/>
  <c r="BK44" i="11"/>
  <c r="BK24" i="11"/>
  <c r="BJ24" i="11"/>
  <c r="BK43" i="11"/>
  <c r="BK23" i="11"/>
  <c r="BJ52" i="11"/>
  <c r="BJ20" i="11"/>
  <c r="BK33" i="11"/>
  <c r="BJ45" i="11"/>
  <c r="BJ29" i="11"/>
  <c r="BK32" i="11"/>
  <c r="BJ60" i="11"/>
  <c r="BJ28" i="11"/>
  <c r="BJ43" i="11"/>
  <c r="BJ27" i="11"/>
  <c r="BJ42" i="11"/>
  <c r="BJ26" i="11"/>
  <c r="BK29" i="11"/>
  <c r="BJ41" i="11"/>
  <c r="BJ25" i="11"/>
  <c r="BJ39" i="11"/>
  <c r="BJ23" i="11"/>
  <c r="BJ54" i="11"/>
  <c r="BJ38" i="11"/>
  <c r="BJ22" i="11"/>
  <c r="BK25" i="11"/>
  <c r="BJ53" i="11"/>
  <c r="BJ37" i="11"/>
  <c r="M31" i="9"/>
  <c r="M34" i="9" s="1"/>
  <c r="M37" i="9" s="1"/>
  <c r="L31" i="9"/>
  <c r="L34" i="9" s="1"/>
  <c r="L37" i="9" s="1"/>
  <c r="N12" i="9"/>
  <c r="I15" i="9"/>
  <c r="I17" i="9" s="1"/>
  <c r="I20" i="9" s="1"/>
  <c r="I22" i="9" s="1"/>
  <c r="I24" i="9" s="1"/>
  <c r="J13" i="9"/>
  <c r="L3" i="9"/>
  <c r="M3" i="9" s="1"/>
  <c r="N3" i="9" s="1"/>
  <c r="O3" i="9" s="1"/>
  <c r="K31" i="9"/>
  <c r="K34" i="9" s="1"/>
  <c r="K37" i="9" s="1"/>
  <c r="J31" i="9"/>
  <c r="J34" i="9" s="1"/>
  <c r="J37" i="9" s="1"/>
  <c r="O12" i="9"/>
  <c r="N31" i="9"/>
  <c r="N34" i="9" s="1"/>
  <c r="N37" i="9" s="1"/>
  <c r="K6" i="9"/>
  <c r="K7" i="9"/>
  <c r="L7" i="9" s="1"/>
  <c r="M7" i="9" s="1"/>
  <c r="M14" i="9" s="1"/>
  <c r="J12" i="9"/>
  <c r="N13" i="9"/>
  <c r="M12" i="9"/>
  <c r="M13" i="9"/>
  <c r="L12" i="9"/>
  <c r="K12" i="9"/>
  <c r="O6" i="9"/>
  <c r="O13" i="9" s="1"/>
  <c r="M4" i="9"/>
  <c r="N18" i="6"/>
  <c r="N16" i="6"/>
  <c r="N19" i="6"/>
  <c r="N17" i="6"/>
  <c r="O18" i="6"/>
  <c r="O16" i="6"/>
  <c r="P10" i="6"/>
  <c r="P19" i="6" s="1"/>
  <c r="N68" i="6"/>
  <c r="N69" i="6" s="1"/>
  <c r="O65" i="6" s="1"/>
  <c r="O67" i="6" s="1"/>
  <c r="O17" i="6"/>
  <c r="R9" i="6"/>
  <c r="O19" i="6"/>
  <c r="F17" i="8"/>
  <c r="M39" i="8"/>
  <c r="M40" i="8" s="1"/>
  <c r="N38" i="8"/>
  <c r="O39" i="8" s="1"/>
  <c r="O42" i="8" s="1"/>
  <c r="M62" i="8"/>
  <c r="N61" i="8"/>
  <c r="O62" i="8" s="1"/>
  <c r="O64" i="8" s="1"/>
  <c r="U13" i="5"/>
  <c r="U14" i="5" s="1"/>
  <c r="U15" i="5" s="1"/>
  <c r="U16" i="5" s="1"/>
  <c r="U17" i="5" s="1"/>
  <c r="U18" i="5" s="1"/>
  <c r="U19" i="5" s="1"/>
  <c r="U20" i="5" s="1"/>
  <c r="U21" i="5" s="1"/>
  <c r="U22" i="5" s="1"/>
  <c r="S14" i="5"/>
  <c r="S15" i="5" s="1"/>
  <c r="S16" i="5" s="1"/>
  <c r="S17" i="5" s="1"/>
  <c r="S18" i="5" s="1"/>
  <c r="S19" i="5" s="1"/>
  <c r="S20" i="5" s="1"/>
  <c r="S21" i="5" s="1"/>
  <c r="S22" i="5" s="1"/>
  <c r="T13" i="5"/>
  <c r="T14" i="5" s="1"/>
  <c r="T15" i="5" s="1"/>
  <c r="T16" i="5" s="1"/>
  <c r="T17" i="5" s="1"/>
  <c r="T18" i="5" s="1"/>
  <c r="T19" i="5" s="1"/>
  <c r="T20" i="5" s="1"/>
  <c r="T21" i="5" s="1"/>
  <c r="T22" i="5" s="1"/>
  <c r="L13" i="5"/>
  <c r="O10" i="8"/>
  <c r="O12" i="8" s="1"/>
  <c r="G12" i="8"/>
  <c r="BD15" i="2" l="1"/>
  <c r="AZ16" i="2" s="1"/>
  <c r="BB15" i="2"/>
  <c r="BC15" i="2" s="1"/>
  <c r="AS15" i="2"/>
  <c r="AT15" i="2" s="1"/>
  <c r="AU15" i="2" s="1"/>
  <c r="AQ16" i="2" s="1"/>
  <c r="AB13" i="2"/>
  <c r="AC13" i="2" s="1"/>
  <c r="U15" i="11"/>
  <c r="W15" i="11" s="1"/>
  <c r="X15" i="11" s="1"/>
  <c r="BI76" i="11"/>
  <c r="BI27" i="11"/>
  <c r="BI40" i="11"/>
  <c r="BI41" i="11"/>
  <c r="BI65" i="11"/>
  <c r="BI25" i="11"/>
  <c r="BI47" i="11"/>
  <c r="BI72" i="11"/>
  <c r="BI28" i="11"/>
  <c r="BI38" i="11"/>
  <c r="BI30" i="11"/>
  <c r="BI77" i="11"/>
  <c r="BI52" i="11"/>
  <c r="BI62" i="11"/>
  <c r="BI68" i="11"/>
  <c r="BI21" i="11"/>
  <c r="BI33" i="11"/>
  <c r="BI53" i="11"/>
  <c r="BI26" i="11"/>
  <c r="BI49" i="11"/>
  <c r="BI69" i="11"/>
  <c r="BI50" i="11"/>
  <c r="BI22" i="11"/>
  <c r="BI45" i="11"/>
  <c r="BI61" i="11"/>
  <c r="BI66" i="11"/>
  <c r="BI43" i="11"/>
  <c r="BI73" i="11"/>
  <c r="BI67" i="11"/>
  <c r="BI59" i="11"/>
  <c r="BI20" i="11"/>
  <c r="BI39" i="11"/>
  <c r="BI36" i="11"/>
  <c r="BI70" i="11"/>
  <c r="BI74" i="11"/>
  <c r="O21" i="18"/>
  <c r="K22" i="18" s="1"/>
  <c r="BI75" i="11"/>
  <c r="BI58" i="11"/>
  <c r="BI23" i="11"/>
  <c r="BI78" i="11"/>
  <c r="BI44" i="11"/>
  <c r="BI63" i="11"/>
  <c r="BI56" i="11"/>
  <c r="BI57" i="11"/>
  <c r="BI32" i="11"/>
  <c r="BI48" i="11"/>
  <c r="BI24" i="11"/>
  <c r="BI64" i="11"/>
  <c r="BI19" i="11"/>
  <c r="BI46" i="11"/>
  <c r="BI54" i="11"/>
  <c r="BI51" i="11"/>
  <c r="BI34" i="11"/>
  <c r="BI37" i="11"/>
  <c r="BI71" i="11"/>
  <c r="BI35" i="11"/>
  <c r="BI31" i="11"/>
  <c r="BI55" i="11"/>
  <c r="BI42" i="11"/>
  <c r="BI60" i="11"/>
  <c r="BK65" i="11"/>
  <c r="BK67" i="11"/>
  <c r="BK55" i="11"/>
  <c r="BJ50" i="11"/>
  <c r="BK72" i="11"/>
  <c r="BJ64" i="11"/>
  <c r="BJ58" i="11"/>
  <c r="BK47" i="11"/>
  <c r="BJ47" i="11"/>
  <c r="BK53" i="11"/>
  <c r="BK56" i="11"/>
  <c r="BJ76" i="11"/>
  <c r="BJ72" i="11"/>
  <c r="BJ74" i="11"/>
  <c r="BK41" i="11"/>
  <c r="BK73" i="11"/>
  <c r="BJ78" i="11"/>
  <c r="BK39" i="11"/>
  <c r="BK69" i="11"/>
  <c r="BJ56" i="11"/>
  <c r="BJ65" i="11"/>
  <c r="BJ67" i="11"/>
  <c r="BJ70" i="11"/>
  <c r="BK70" i="11"/>
  <c r="BK61" i="11"/>
  <c r="BK34" i="11"/>
  <c r="BK77" i="11"/>
  <c r="BK57" i="11"/>
  <c r="BJ55" i="11"/>
  <c r="BJ61" i="11"/>
  <c r="BK48" i="11"/>
  <c r="BK50" i="11"/>
  <c r="BK58" i="11"/>
  <c r="BJ77" i="11"/>
  <c r="BK64" i="11"/>
  <c r="BK66" i="11"/>
  <c r="BJ48" i="11"/>
  <c r="BJ51" i="11"/>
  <c r="BK59" i="11"/>
  <c r="BK54" i="11"/>
  <c r="BK60" i="11"/>
  <c r="BJ59" i="11"/>
  <c r="BK68" i="11"/>
  <c r="BK71" i="11"/>
  <c r="BK74" i="11"/>
  <c r="BK62" i="11"/>
  <c r="BJ71" i="11"/>
  <c r="BJ62" i="11"/>
  <c r="BJ57" i="11"/>
  <c r="BJ75" i="11"/>
  <c r="BK45" i="11"/>
  <c r="BK63" i="11"/>
  <c r="BJ73" i="11"/>
  <c r="BJ34" i="11"/>
  <c r="BJ36" i="11"/>
  <c r="BK76" i="11"/>
  <c r="BK75" i="11"/>
  <c r="BJ69" i="11"/>
  <c r="BJ44" i="11"/>
  <c r="BJ63" i="11"/>
  <c r="BJ66" i="11"/>
  <c r="BJ68" i="11"/>
  <c r="BJ46" i="11"/>
  <c r="BJ49" i="11"/>
  <c r="BK36" i="11"/>
  <c r="BL20" i="11"/>
  <c r="BH21" i="11" s="1"/>
  <c r="BL21" i="11" s="1"/>
  <c r="BH22" i="11" s="1"/>
  <c r="BL22" i="11" s="1"/>
  <c r="BH23" i="11" s="1"/>
  <c r="BL23" i="11" s="1"/>
  <c r="BH24" i="11" s="1"/>
  <c r="BL24" i="11" s="1"/>
  <c r="BH25" i="11" s="1"/>
  <c r="N15" i="9"/>
  <c r="N17" i="9" s="1"/>
  <c r="N20" i="9" s="1"/>
  <c r="J15" i="9"/>
  <c r="J17" i="9" s="1"/>
  <c r="J20" i="9" s="1"/>
  <c r="J22" i="9" s="1"/>
  <c r="J24" i="9" s="1"/>
  <c r="K14" i="9"/>
  <c r="O15" i="9"/>
  <c r="O17" i="9" s="1"/>
  <c r="O20" i="9" s="1"/>
  <c r="M15" i="9"/>
  <c r="M17" i="9" s="1"/>
  <c r="M20" i="9" s="1"/>
  <c r="I39" i="9"/>
  <c r="L14" i="9"/>
  <c r="K13" i="9"/>
  <c r="L6" i="9"/>
  <c r="L13" i="9" s="1"/>
  <c r="N4" i="9"/>
  <c r="M18" i="9"/>
  <c r="M21" i="9" s="1"/>
  <c r="O20" i="6"/>
  <c r="N20" i="6"/>
  <c r="N55" i="6" s="1"/>
  <c r="P17" i="6"/>
  <c r="N21" i="6"/>
  <c r="N77" i="6"/>
  <c r="N78" i="6" s="1"/>
  <c r="N58" i="6" s="1"/>
  <c r="N59" i="6" s="1"/>
  <c r="O69" i="6"/>
  <c r="P65" i="6" s="1"/>
  <c r="P67" i="6" s="1"/>
  <c r="O55" i="6"/>
  <c r="P18" i="6"/>
  <c r="P16" i="6"/>
  <c r="P20" i="6" s="1"/>
  <c r="R10" i="6"/>
  <c r="R19" i="6" s="1"/>
  <c r="Q10" i="6"/>
  <c r="U24" i="5"/>
  <c r="T24" i="5"/>
  <c r="S24" i="5"/>
  <c r="L14" i="5"/>
  <c r="L15" i="5" s="1"/>
  <c r="L16" i="5" s="1"/>
  <c r="L17" i="5" s="1"/>
  <c r="L18" i="5" s="1"/>
  <c r="L19" i="5" s="1"/>
  <c r="L20" i="5" s="1"/>
  <c r="L21" i="5" s="1"/>
  <c r="L22" i="5" s="1"/>
  <c r="BB16" i="2" l="1"/>
  <c r="BC16" i="2" s="1"/>
  <c r="BD16" i="2" s="1"/>
  <c r="AZ17" i="2" s="1"/>
  <c r="AS16" i="2"/>
  <c r="AT16" i="2" s="1"/>
  <c r="AU16" i="2" s="1"/>
  <c r="AQ17" i="2" s="1"/>
  <c r="AE13" i="2"/>
  <c r="X14" i="2" s="1"/>
  <c r="Z14" i="2" s="1"/>
  <c r="S16" i="11"/>
  <c r="AE15" i="11"/>
  <c r="O22" i="18"/>
  <c r="K23" i="18" s="1"/>
  <c r="O23" i="18" s="1"/>
  <c r="K24" i="18" s="1"/>
  <c r="O24" i="18" s="1"/>
  <c r="K25" i="18" s="1"/>
  <c r="BL25" i="11"/>
  <c r="BH26" i="11" s="1"/>
  <c r="M22" i="9"/>
  <c r="M24" i="9" s="1"/>
  <c r="K15" i="9"/>
  <c r="K17" i="9" s="1"/>
  <c r="K20" i="9" s="1"/>
  <c r="K22" i="9" s="1"/>
  <c r="K24" i="9" s="1"/>
  <c r="L15" i="9"/>
  <c r="L17" i="9" s="1"/>
  <c r="L20" i="9" s="1"/>
  <c r="L22" i="9" s="1"/>
  <c r="L24" i="9" s="1"/>
  <c r="O4" i="9"/>
  <c r="O18" i="9" s="1"/>
  <c r="O21" i="9" s="1"/>
  <c r="O22" i="9" s="1"/>
  <c r="O24" i="9" s="1"/>
  <c r="N18" i="9"/>
  <c r="N21" i="9" s="1"/>
  <c r="N22" i="9" s="1"/>
  <c r="N24" i="9" s="1"/>
  <c r="P68" i="6"/>
  <c r="P69" i="6" s="1"/>
  <c r="Q65" i="6" s="1"/>
  <c r="Q67" i="6" s="1"/>
  <c r="P55" i="6"/>
  <c r="Q16" i="6"/>
  <c r="Q18" i="6"/>
  <c r="Q17" i="6"/>
  <c r="Q19" i="6"/>
  <c r="R18" i="6"/>
  <c r="R17" i="6"/>
  <c r="R16" i="6"/>
  <c r="R20" i="6" s="1"/>
  <c r="O21" i="6"/>
  <c r="O77" i="6"/>
  <c r="O78" i="6" s="1"/>
  <c r="O58" i="6" s="1"/>
  <c r="O59" i="6" s="1"/>
  <c r="N25" i="6"/>
  <c r="N22" i="6"/>
  <c r="L24" i="5"/>
  <c r="N28" i="5" s="1"/>
  <c r="BB17" i="2" l="1"/>
  <c r="BC17" i="2" s="1"/>
  <c r="BD17" i="2" s="1"/>
  <c r="AZ18" i="2" s="1"/>
  <c r="AS17" i="2"/>
  <c r="AT17" i="2" s="1"/>
  <c r="AU17" i="2" s="1"/>
  <c r="AQ18" i="2" s="1"/>
  <c r="AB14" i="2"/>
  <c r="AC14" i="2" s="1"/>
  <c r="AE14" i="2" s="1"/>
  <c r="X15" i="2" s="1"/>
  <c r="Z15" i="2" s="1"/>
  <c r="U16" i="11"/>
  <c r="O25" i="18"/>
  <c r="K26" i="18" s="1"/>
  <c r="BL26" i="11"/>
  <c r="BH27" i="11" s="1"/>
  <c r="Q68" i="6"/>
  <c r="Q69" i="6" s="1"/>
  <c r="R65" i="6" s="1"/>
  <c r="R67" i="6" s="1"/>
  <c r="R68" i="6" s="1"/>
  <c r="N23" i="6"/>
  <c r="N24" i="6" s="1"/>
  <c r="N26" i="6" s="1"/>
  <c r="O25" i="6"/>
  <c r="O22" i="6"/>
  <c r="R55" i="6"/>
  <c r="Q20" i="6"/>
  <c r="P21" i="6"/>
  <c r="P77" i="6"/>
  <c r="P78" i="6" s="1"/>
  <c r="P58" i="6" s="1"/>
  <c r="P59" i="6" s="1"/>
  <c r="BB18" i="2" l="1"/>
  <c r="BC18" i="2" s="1"/>
  <c r="BD18" i="2" s="1"/>
  <c r="AZ19" i="2" s="1"/>
  <c r="AS18" i="2"/>
  <c r="AT18" i="2" s="1"/>
  <c r="AU18" i="2" s="1"/>
  <c r="AQ19" i="2" s="1"/>
  <c r="AB15" i="2"/>
  <c r="AC15" i="2" s="1"/>
  <c r="W16" i="11"/>
  <c r="X16" i="11" s="1"/>
  <c r="Z16" i="11" s="1"/>
  <c r="O26" i="18"/>
  <c r="K27" i="18" s="1"/>
  <c r="BL27" i="11"/>
  <c r="BH28" i="11" s="1"/>
  <c r="P25" i="6"/>
  <c r="P22" i="6"/>
  <c r="Q55" i="6"/>
  <c r="O23" i="6"/>
  <c r="O24" i="6" s="1"/>
  <c r="O26" i="6" s="1"/>
  <c r="R77" i="6"/>
  <c r="R78" i="6" s="1"/>
  <c r="R58" i="6" s="1"/>
  <c r="R59" i="6" s="1"/>
  <c r="R21" i="6"/>
  <c r="Q21" i="6"/>
  <c r="Q25" i="6" s="1"/>
  <c r="Q77" i="6"/>
  <c r="Q78" i="6" s="1"/>
  <c r="Q58" i="6" s="1"/>
  <c r="Q59" i="6" s="1"/>
  <c r="BD19" i="2" l="1"/>
  <c r="BB19" i="2"/>
  <c r="BC19" i="2" s="1"/>
  <c r="AS19" i="2"/>
  <c r="AT19" i="2" s="1"/>
  <c r="AU19" i="2" s="1"/>
  <c r="AE15" i="2"/>
  <c r="X16" i="2" s="1"/>
  <c r="Z16" i="2" s="1"/>
  <c r="AE16" i="11"/>
  <c r="S17" i="11"/>
  <c r="U17" i="11" s="1"/>
  <c r="O27" i="18"/>
  <c r="K28" i="18" s="1"/>
  <c r="BL28" i="11"/>
  <c r="BH29" i="11" s="1"/>
  <c r="R25" i="6"/>
  <c r="R22" i="6"/>
  <c r="Q22" i="6"/>
  <c r="P23" i="6"/>
  <c r="P24" i="6" s="1"/>
  <c r="P26" i="6" s="1"/>
  <c r="AB16" i="2" l="1"/>
  <c r="AC16" i="2" s="1"/>
  <c r="AE16" i="2" s="1"/>
  <c r="X17" i="2" s="1"/>
  <c r="Z17" i="2" s="1"/>
  <c r="W17" i="11"/>
  <c r="X17" i="11" s="1"/>
  <c r="Z17" i="11"/>
  <c r="S18" i="11" s="1"/>
  <c r="O28" i="18"/>
  <c r="K29" i="18" s="1"/>
  <c r="BL29" i="11"/>
  <c r="BH30" i="11" s="1"/>
  <c r="Q23" i="6"/>
  <c r="Q24" i="6" s="1"/>
  <c r="Q26" i="6" s="1"/>
  <c r="R23" i="6"/>
  <c r="R24" i="6" s="1"/>
  <c r="R26" i="6" s="1"/>
  <c r="AB17" i="2" l="1"/>
  <c r="AC17" i="2" s="1"/>
  <c r="AE17" i="11"/>
  <c r="U18" i="11"/>
  <c r="O29" i="18"/>
  <c r="K30" i="18" s="1"/>
  <c r="BL30" i="11"/>
  <c r="BH31" i="11" s="1"/>
  <c r="AE17" i="2" l="1"/>
  <c r="X18" i="2" s="1"/>
  <c r="Z18" i="2" s="1"/>
  <c r="W18" i="11"/>
  <c r="X18" i="11" s="1"/>
  <c r="Z18" i="11"/>
  <c r="S19" i="11"/>
  <c r="AE18" i="11"/>
  <c r="O30" i="18"/>
  <c r="K31" i="18" s="1"/>
  <c r="BL31" i="11"/>
  <c r="BH32" i="11" s="1"/>
  <c r="AB18" i="2" l="1"/>
  <c r="AC18" i="2" s="1"/>
  <c r="U19" i="11"/>
  <c r="O31" i="18"/>
  <c r="K32" i="18" s="1"/>
  <c r="BL32" i="11"/>
  <c r="BH33" i="11" s="1"/>
  <c r="AE18" i="2" l="1"/>
  <c r="X19" i="2" s="1"/>
  <c r="Z19" i="2" s="1"/>
  <c r="W19" i="11"/>
  <c r="X19" i="11" s="1"/>
  <c r="Z19" i="11" s="1"/>
  <c r="O32" i="18"/>
  <c r="K33" i="18" s="1"/>
  <c r="BL33" i="11"/>
  <c r="BH34" i="11" s="1"/>
  <c r="AB19" i="2" l="1"/>
  <c r="AC19" i="2" s="1"/>
  <c r="S20" i="11"/>
  <c r="AE19" i="11"/>
  <c r="U20" i="11"/>
  <c r="O33" i="18"/>
  <c r="K34" i="18" s="1"/>
  <c r="BL34" i="11"/>
  <c r="BH35" i="11" s="1"/>
  <c r="AE19" i="2" l="1"/>
  <c r="X20" i="2" s="1"/>
  <c r="Z20" i="2" s="1"/>
  <c r="W20" i="11"/>
  <c r="X20" i="11" s="1"/>
  <c r="Z20" i="11"/>
  <c r="S21" i="11" s="1"/>
  <c r="AE20" i="11"/>
  <c r="O34" i="18"/>
  <c r="K35" i="18" s="1"/>
  <c r="BL35" i="11"/>
  <c r="BH36" i="11" s="1"/>
  <c r="AB20" i="2" l="1"/>
  <c r="AC20" i="2" s="1"/>
  <c r="U21" i="11"/>
  <c r="O35" i="18"/>
  <c r="K36" i="18" s="1"/>
  <c r="BL36" i="11"/>
  <c r="BH37" i="11" s="1"/>
  <c r="AE20" i="2" l="1"/>
  <c r="X21" i="2" s="1"/>
  <c r="Z21" i="2" s="1"/>
  <c r="W21" i="11"/>
  <c r="X21" i="11" s="1"/>
  <c r="Z21" i="11"/>
  <c r="AE21" i="11"/>
  <c r="S22" i="11"/>
  <c r="O36" i="18"/>
  <c r="K37" i="18" s="1"/>
  <c r="BL37" i="11"/>
  <c r="BH38" i="11" s="1"/>
  <c r="AB21" i="2" l="1"/>
  <c r="AC21" i="2" s="1"/>
  <c r="AE21" i="2" s="1"/>
  <c r="X22" i="2" s="1"/>
  <c r="Z22" i="2" s="1"/>
  <c r="U22" i="11"/>
  <c r="O37" i="18"/>
  <c r="K38" i="18" s="1"/>
  <c r="BL38" i="11"/>
  <c r="BH39" i="11" s="1"/>
  <c r="AB22" i="2" l="1"/>
  <c r="AC22" i="2" s="1"/>
  <c r="W22" i="11"/>
  <c r="X22" i="11" s="1"/>
  <c r="Z22" i="11"/>
  <c r="S23" i="11"/>
  <c r="AE22" i="11"/>
  <c r="O38" i="18"/>
  <c r="K39" i="18" s="1"/>
  <c r="BL39" i="11"/>
  <c r="BH40" i="11" s="1"/>
  <c r="AE22" i="2" l="1"/>
  <c r="X23" i="2" s="1"/>
  <c r="Z23" i="2" s="1"/>
  <c r="U23" i="11"/>
  <c r="O39" i="18"/>
  <c r="K40" i="18" s="1"/>
  <c r="BL40" i="11"/>
  <c r="BH41" i="11" s="1"/>
  <c r="AB23" i="2" l="1"/>
  <c r="AC23" i="2" s="1"/>
  <c r="AE23" i="2" s="1"/>
  <c r="X24" i="2" s="1"/>
  <c r="Z24" i="2" s="1"/>
  <c r="W23" i="11"/>
  <c r="X23" i="11" s="1"/>
  <c r="Z23" i="11"/>
  <c r="S24" i="11" s="1"/>
  <c r="AE23" i="11"/>
  <c r="O40" i="18"/>
  <c r="K41" i="18" s="1"/>
  <c r="BL41" i="11"/>
  <c r="BH42" i="11" s="1"/>
  <c r="AB24" i="2" l="1"/>
  <c r="AC24" i="2" s="1"/>
  <c r="U24" i="11"/>
  <c r="O41" i="18"/>
  <c r="K42" i="18" s="1"/>
  <c r="BL42" i="11"/>
  <c r="BH43" i="11" s="1"/>
  <c r="AE24" i="2" l="1"/>
  <c r="X25" i="2" s="1"/>
  <c r="Z25" i="2" s="1"/>
  <c r="W24" i="11"/>
  <c r="X24" i="11" s="1"/>
  <c r="Z24" i="11" s="1"/>
  <c r="O42" i="18"/>
  <c r="K43" i="18" s="1"/>
  <c r="BL43" i="11"/>
  <c r="BH44" i="11" s="1"/>
  <c r="AB25" i="2" l="1"/>
  <c r="AC25" i="2" s="1"/>
  <c r="AE25" i="2" s="1"/>
  <c r="X26" i="2" s="1"/>
  <c r="Z26" i="2" s="1"/>
  <c r="AE24" i="11"/>
  <c r="S25" i="11"/>
  <c r="U25" i="11"/>
  <c r="O43" i="18"/>
  <c r="K44" i="18" s="1"/>
  <c r="BL44" i="11"/>
  <c r="BH45" i="11" s="1"/>
  <c r="AB26" i="2" l="1"/>
  <c r="AC26" i="2" s="1"/>
  <c r="W25" i="11"/>
  <c r="X25" i="11" s="1"/>
  <c r="Z25" i="11"/>
  <c r="S26" i="11" s="1"/>
  <c r="O44" i="18"/>
  <c r="K45" i="18" s="1"/>
  <c r="BL45" i="11"/>
  <c r="BH46" i="11" s="1"/>
  <c r="AE26" i="2" l="1"/>
  <c r="X27" i="2" s="1"/>
  <c r="Z27" i="2" s="1"/>
  <c r="AE25" i="11"/>
  <c r="U26" i="11"/>
  <c r="O45" i="18"/>
  <c r="K46" i="18" s="1"/>
  <c r="BL46" i="11"/>
  <c r="BH47" i="11" s="1"/>
  <c r="AB27" i="2" l="1"/>
  <c r="AC27" i="2" s="1"/>
  <c r="W26" i="11"/>
  <c r="X26" i="11" s="1"/>
  <c r="Z26" i="11"/>
  <c r="AE26" i="11" s="1"/>
  <c r="S27" i="11"/>
  <c r="O46" i="18"/>
  <c r="K47" i="18" s="1"/>
  <c r="BL47" i="11"/>
  <c r="BH48" i="11" s="1"/>
  <c r="AE27" i="2" l="1"/>
  <c r="X28" i="2" s="1"/>
  <c r="Z28" i="2" s="1"/>
  <c r="AB28" i="2" s="1"/>
  <c r="U27" i="11"/>
  <c r="O47" i="18"/>
  <c r="K48" i="18" s="1"/>
  <c r="BL48" i="11"/>
  <c r="BH49" i="11" s="1"/>
  <c r="AC28" i="2" l="1"/>
  <c r="W27" i="11"/>
  <c r="X27" i="11" s="1"/>
  <c r="Z27" i="11"/>
  <c r="S28" i="11" s="1"/>
  <c r="O48" i="18"/>
  <c r="K49" i="18" s="1"/>
  <c r="BL49" i="11"/>
  <c r="BH50" i="11" s="1"/>
  <c r="AE28" i="2" l="1"/>
  <c r="X29" i="2" s="1"/>
  <c r="Z29" i="2" s="1"/>
  <c r="AB29" i="2" s="1"/>
  <c r="AE27" i="11"/>
  <c r="U28" i="11"/>
  <c r="O49" i="18"/>
  <c r="K50" i="18" s="1"/>
  <c r="BL50" i="11"/>
  <c r="BH51" i="11" s="1"/>
  <c r="AC29" i="2" l="1"/>
  <c r="AE29" i="2" s="1"/>
  <c r="W28" i="11"/>
  <c r="X28" i="11" s="1"/>
  <c r="Z28" i="11" s="1"/>
  <c r="O50" i="18"/>
  <c r="K51" i="18" s="1"/>
  <c r="BL51" i="11"/>
  <c r="BH52" i="11" s="1"/>
  <c r="X30" i="2" l="1"/>
  <c r="Z30" i="2" s="1"/>
  <c r="AB30" i="2" s="1"/>
  <c r="S29" i="11"/>
  <c r="AE28" i="11"/>
  <c r="U29" i="11"/>
  <c r="O51" i="18"/>
  <c r="K52" i="18" s="1"/>
  <c r="BL52" i="11"/>
  <c r="BH53" i="11" s="1"/>
  <c r="AC30" i="2" l="1"/>
  <c r="W29" i="11"/>
  <c r="X29" i="11" s="1"/>
  <c r="Z29" i="11"/>
  <c r="S30" i="11" s="1"/>
  <c r="AE29" i="11"/>
  <c r="O52" i="18"/>
  <c r="K53" i="18" s="1"/>
  <c r="BL53" i="11"/>
  <c r="BH54" i="11" s="1"/>
  <c r="AE30" i="2" l="1"/>
  <c r="X31" i="2" s="1"/>
  <c r="Z31" i="2" s="1"/>
  <c r="AB31" i="2" s="1"/>
  <c r="U30" i="11"/>
  <c r="O53" i="18"/>
  <c r="K54" i="18" s="1"/>
  <c r="BL54" i="11"/>
  <c r="BH55" i="11" s="1"/>
  <c r="AC31" i="2" l="1"/>
  <c r="W30" i="11"/>
  <c r="X30" i="11" s="1"/>
  <c r="Z30" i="11" s="1"/>
  <c r="O54" i="18"/>
  <c r="K55" i="18" s="1"/>
  <c r="BL55" i="11"/>
  <c r="BH56" i="11" s="1"/>
  <c r="AE31" i="2" l="1"/>
  <c r="X32" i="2" s="1"/>
  <c r="Z32" i="2" s="1"/>
  <c r="AB32" i="2" s="1"/>
  <c r="S31" i="11"/>
  <c r="AE30" i="11"/>
  <c r="U31" i="11"/>
  <c r="O55" i="18"/>
  <c r="K56" i="18" s="1"/>
  <c r="BL56" i="11"/>
  <c r="BH57" i="11" s="1"/>
  <c r="AC32" i="2" l="1"/>
  <c r="W31" i="11"/>
  <c r="X31" i="11" s="1"/>
  <c r="Z31" i="11" s="1"/>
  <c r="O56" i="18"/>
  <c r="K57" i="18" s="1"/>
  <c r="BL57" i="11"/>
  <c r="BH58" i="11" s="1"/>
  <c r="AE32" i="2" l="1"/>
  <c r="X33" i="2" s="1"/>
  <c r="Z33" i="2" s="1"/>
  <c r="AB33" i="2" s="1"/>
  <c r="S32" i="11"/>
  <c r="AE31" i="11"/>
  <c r="U32" i="11"/>
  <c r="O57" i="18"/>
  <c r="K58" i="18" s="1"/>
  <c r="BL58" i="11"/>
  <c r="BH59" i="11" s="1"/>
  <c r="AC33" i="2" l="1"/>
  <c r="W32" i="11"/>
  <c r="X32" i="11" s="1"/>
  <c r="Z32" i="11"/>
  <c r="S33" i="11" s="1"/>
  <c r="AE32" i="11"/>
  <c r="O58" i="18"/>
  <c r="K59" i="18" s="1"/>
  <c r="BL59" i="11"/>
  <c r="BH60" i="11" s="1"/>
  <c r="AE33" i="2" l="1"/>
  <c r="X34" i="2" s="1"/>
  <c r="Z34" i="2" s="1"/>
  <c r="AB34" i="2" s="1"/>
  <c r="U33" i="11"/>
  <c r="O59" i="18"/>
  <c r="K60" i="18" s="1"/>
  <c r="BL60" i="11"/>
  <c r="BH61" i="11" s="1"/>
  <c r="AC34" i="2" l="1"/>
  <c r="AE34" i="2" s="1"/>
  <c r="X35" i="2" s="1"/>
  <c r="Z35" i="2" s="1"/>
  <c r="AB35" i="2" s="1"/>
  <c r="W33" i="11"/>
  <c r="X33" i="11" s="1"/>
  <c r="Z33" i="11"/>
  <c r="S34" i="11" s="1"/>
  <c r="O60" i="18"/>
  <c r="K61" i="18" s="1"/>
  <c r="BL61" i="11"/>
  <c r="BH62" i="11" s="1"/>
  <c r="AC35" i="2" l="1"/>
  <c r="AE33" i="11"/>
  <c r="U34" i="11"/>
  <c r="O61" i="18"/>
  <c r="K62" i="18" s="1"/>
  <c r="BL62" i="11"/>
  <c r="BH63" i="11" s="1"/>
  <c r="AE35" i="2" l="1"/>
  <c r="X36" i="2" s="1"/>
  <c r="Z36" i="2" s="1"/>
  <c r="AB36" i="2" s="1"/>
  <c r="W34" i="11"/>
  <c r="X34" i="11" s="1"/>
  <c r="Z34" i="11"/>
  <c r="S35" i="11"/>
  <c r="AE34" i="11"/>
  <c r="O62" i="18"/>
  <c r="K63" i="18" s="1"/>
  <c r="BL63" i="11"/>
  <c r="BH64" i="11" s="1"/>
  <c r="AC36" i="2" l="1"/>
  <c r="U35" i="11"/>
  <c r="O63" i="18"/>
  <c r="K64" i="18" s="1"/>
  <c r="BL64" i="11"/>
  <c r="BH65" i="11" s="1"/>
  <c r="AE36" i="2" l="1"/>
  <c r="X37" i="2" s="1"/>
  <c r="Z37" i="2" s="1"/>
  <c r="AB37" i="2" s="1"/>
  <c r="W35" i="11"/>
  <c r="X35" i="11" s="1"/>
  <c r="Z35" i="11"/>
  <c r="S36" i="11"/>
  <c r="AE35" i="11"/>
  <c r="O64" i="18"/>
  <c r="K65" i="18" s="1"/>
  <c r="BL65" i="11"/>
  <c r="BH66" i="11" s="1"/>
  <c r="AC37" i="2" l="1"/>
  <c r="AE37" i="2" s="1"/>
  <c r="X38" i="2" s="1"/>
  <c r="Z38" i="2" s="1"/>
  <c r="AB38" i="2" s="1"/>
  <c r="U36" i="11"/>
  <c r="O65" i="18"/>
  <c r="K66" i="18" s="1"/>
  <c r="BL66" i="11"/>
  <c r="BH67" i="11" s="1"/>
  <c r="AC38" i="2" l="1"/>
  <c r="AE38" i="2" s="1"/>
  <c r="X39" i="2" s="1"/>
  <c r="Z39" i="2" s="1"/>
  <c r="AB39" i="2" s="1"/>
  <c r="W36" i="11"/>
  <c r="X36" i="11" s="1"/>
  <c r="Z36" i="11" s="1"/>
  <c r="O66" i="18"/>
  <c r="K67" i="18" s="1"/>
  <c r="BL67" i="11"/>
  <c r="BH68" i="11" s="1"/>
  <c r="AC39" i="2" l="1"/>
  <c r="S37" i="11"/>
  <c r="AE36" i="11"/>
  <c r="U37" i="11"/>
  <c r="O67" i="18"/>
  <c r="K68" i="18" s="1"/>
  <c r="BL68" i="11"/>
  <c r="BH69" i="11" s="1"/>
  <c r="AE39" i="2" l="1"/>
  <c r="X40" i="2" s="1"/>
  <c r="Z40" i="2" s="1"/>
  <c r="AB40" i="2" s="1"/>
  <c r="W37" i="11"/>
  <c r="X37" i="11" s="1"/>
  <c r="Z37" i="11"/>
  <c r="S38" i="11" s="1"/>
  <c r="O68" i="18"/>
  <c r="K69" i="18" s="1"/>
  <c r="BL69" i="11"/>
  <c r="BH70" i="11" s="1"/>
  <c r="AC40" i="2" l="1"/>
  <c r="AE37" i="11"/>
  <c r="U38" i="11"/>
  <c r="O69" i="18"/>
  <c r="K70" i="18" s="1"/>
  <c r="BL70" i="11"/>
  <c r="BH71" i="11" s="1"/>
  <c r="AE40" i="2" l="1"/>
  <c r="X41" i="2" s="1"/>
  <c r="Z41" i="2" s="1"/>
  <c r="AB41" i="2" s="1"/>
  <c r="W38" i="11"/>
  <c r="X38" i="11" s="1"/>
  <c r="Z38" i="11"/>
  <c r="S39" i="11"/>
  <c r="AE38" i="11"/>
  <c r="O70" i="18"/>
  <c r="K71" i="18" s="1"/>
  <c r="BL71" i="11"/>
  <c r="BH72" i="11" s="1"/>
  <c r="AC41" i="2" l="1"/>
  <c r="U39" i="11"/>
  <c r="O71" i="18"/>
  <c r="K72" i="18" s="1"/>
  <c r="BL72" i="11"/>
  <c r="BH73" i="11" s="1"/>
  <c r="AE41" i="2" l="1"/>
  <c r="X42" i="2" s="1"/>
  <c r="Z42" i="2" s="1"/>
  <c r="AB42" i="2" s="1"/>
  <c r="W39" i="11"/>
  <c r="X39" i="11" s="1"/>
  <c r="Z39" i="11"/>
  <c r="AE39" i="11"/>
  <c r="S40" i="11"/>
  <c r="O72" i="18"/>
  <c r="K73" i="18" s="1"/>
  <c r="BL73" i="11"/>
  <c r="BH74" i="11" s="1"/>
  <c r="AC42" i="2" l="1"/>
  <c r="U40" i="11"/>
  <c r="O73" i="18"/>
  <c r="K74" i="18" s="1"/>
  <c r="BL74" i="11"/>
  <c r="BH75" i="11" s="1"/>
  <c r="AE42" i="2" l="1"/>
  <c r="X43" i="2" s="1"/>
  <c r="Z43" i="2" s="1"/>
  <c r="AB43" i="2" s="1"/>
  <c r="W40" i="11"/>
  <c r="X40" i="11" s="1"/>
  <c r="Z40" i="11"/>
  <c r="S41" i="11"/>
  <c r="AE40" i="11"/>
  <c r="O74" i="18"/>
  <c r="K75" i="18" s="1"/>
  <c r="BL75" i="11"/>
  <c r="BH76" i="11" s="1"/>
  <c r="AC43" i="2" l="1"/>
  <c r="U41" i="11"/>
  <c r="O75" i="18"/>
  <c r="K76" i="18" s="1"/>
  <c r="O76" i="18" s="1"/>
  <c r="BL76" i="11"/>
  <c r="BH77" i="11" s="1"/>
  <c r="AE43" i="2" l="1"/>
  <c r="X44" i="2" s="1"/>
  <c r="Z44" i="2" s="1"/>
  <c r="AB44" i="2" s="1"/>
  <c r="W41" i="11"/>
  <c r="X41" i="11" s="1"/>
  <c r="Z41" i="11"/>
  <c r="S42" i="11"/>
  <c r="AE41" i="11"/>
  <c r="BL77" i="11"/>
  <c r="BH78" i="11" s="1"/>
  <c r="AC44" i="2" l="1"/>
  <c r="AE44" i="2" s="1"/>
  <c r="X45" i="2" s="1"/>
  <c r="Z45" i="2" s="1"/>
  <c r="AB45" i="2" s="1"/>
  <c r="U42" i="11"/>
  <c r="BL78" i="11"/>
  <c r="AC45" i="2" l="1"/>
  <c r="AE45" i="2" s="1"/>
  <c r="X46" i="2" s="1"/>
  <c r="Z46" i="2" s="1"/>
  <c r="AB46" i="2" s="1"/>
  <c r="W42" i="11"/>
  <c r="X42" i="11" s="1"/>
  <c r="Z42" i="11"/>
  <c r="S43" i="11" s="1"/>
  <c r="AC46" i="2" l="1"/>
  <c r="AE46" i="2" s="1"/>
  <c r="X47" i="2" s="1"/>
  <c r="Z47" i="2" s="1"/>
  <c r="AB47" i="2" s="1"/>
  <c r="AE42" i="11"/>
  <c r="U43" i="11"/>
  <c r="AC47" i="2" l="1"/>
  <c r="W43" i="11"/>
  <c r="X43" i="11" s="1"/>
  <c r="Z43" i="11"/>
  <c r="S44" i="11"/>
  <c r="AE43" i="11"/>
  <c r="AE47" i="2" l="1"/>
  <c r="X48" i="2" s="1"/>
  <c r="Z48" i="2" s="1"/>
  <c r="AB48" i="2" s="1"/>
  <c r="U44" i="11"/>
  <c r="AC48" i="2" l="1"/>
  <c r="W44" i="11"/>
  <c r="X44" i="11" s="1"/>
  <c r="Z44" i="11"/>
  <c r="AE44" i="11" s="1"/>
  <c r="S45" i="11"/>
  <c r="AE48" i="2" l="1"/>
  <c r="X49" i="2" s="1"/>
  <c r="Z49" i="2" s="1"/>
  <c r="AB49" i="2" s="1"/>
  <c r="U45" i="11"/>
  <c r="AC49" i="2" l="1"/>
  <c r="W45" i="11"/>
  <c r="X45" i="11" s="1"/>
  <c r="Z45" i="11"/>
  <c r="S46" i="11" s="1"/>
  <c r="AE45" i="11"/>
  <c r="AE49" i="2" l="1"/>
  <c r="X50" i="2" s="1"/>
  <c r="Z50" i="2" s="1"/>
  <c r="AB50" i="2" s="1"/>
  <c r="U46" i="11"/>
  <c r="AC50" i="2" l="1"/>
  <c r="AE50" i="2" s="1"/>
  <c r="X51" i="2" s="1"/>
  <c r="Z51" i="2" s="1"/>
  <c r="AB51" i="2" s="1"/>
  <c r="W46" i="11"/>
  <c r="X46" i="11" s="1"/>
  <c r="Z46" i="11"/>
  <c r="S47" i="11"/>
  <c r="AE46" i="11"/>
  <c r="AC51" i="2" l="1"/>
  <c r="U47" i="11"/>
  <c r="AE51" i="2" l="1"/>
  <c r="X52" i="2" s="1"/>
  <c r="Z52" i="2" s="1"/>
  <c r="AB52" i="2" s="1"/>
  <c r="W47" i="11"/>
  <c r="X47" i="11" s="1"/>
  <c r="Z47" i="11"/>
  <c r="S48" i="11"/>
  <c r="AE47" i="11"/>
  <c r="AC52" i="2" l="1"/>
  <c r="U48" i="11"/>
  <c r="AE52" i="2" l="1"/>
  <c r="X53" i="2" s="1"/>
  <c r="Z53" i="2" s="1"/>
  <c r="AB53" i="2" s="1"/>
  <c r="W48" i="11"/>
  <c r="X48" i="11" s="1"/>
  <c r="Z48" i="11"/>
  <c r="S49" i="11" s="1"/>
  <c r="AE48" i="11"/>
  <c r="AC53" i="2" l="1"/>
  <c r="AE53" i="2" s="1"/>
  <c r="X54" i="2" s="1"/>
  <c r="Z54" i="2" s="1"/>
  <c r="AB54" i="2" s="1"/>
  <c r="U49" i="11"/>
  <c r="AC54" i="2" l="1"/>
  <c r="AE54" i="2" s="1"/>
  <c r="X55" i="2" s="1"/>
  <c r="Z55" i="2" s="1"/>
  <c r="AB55" i="2" s="1"/>
  <c r="W49" i="11"/>
  <c r="X49" i="11" s="1"/>
  <c r="Z49" i="11"/>
  <c r="S50" i="11"/>
  <c r="AE49" i="11"/>
  <c r="AC55" i="2" l="1"/>
  <c r="AE55" i="2" s="1"/>
  <c r="X56" i="2" s="1"/>
  <c r="Z56" i="2" s="1"/>
  <c r="AB56" i="2" s="1"/>
  <c r="U50" i="11"/>
  <c r="AC56" i="2" l="1"/>
  <c r="AE56" i="2" s="1"/>
  <c r="X57" i="2" s="1"/>
  <c r="Z57" i="2" s="1"/>
  <c r="AB57" i="2" s="1"/>
  <c r="W50" i="11"/>
  <c r="X50" i="11" s="1"/>
  <c r="Z50" i="11"/>
  <c r="S51" i="11"/>
  <c r="AE50" i="11"/>
  <c r="AC57" i="2" l="1"/>
  <c r="AE57" i="2" s="1"/>
  <c r="X58" i="2" s="1"/>
  <c r="Z58" i="2" s="1"/>
  <c r="AB58" i="2" s="1"/>
  <c r="U51" i="11"/>
  <c r="AC58" i="2" l="1"/>
  <c r="AE58" i="2" s="1"/>
  <c r="X59" i="2" s="1"/>
  <c r="Z59" i="2" s="1"/>
  <c r="AB59" i="2" s="1"/>
  <c r="W51" i="11"/>
  <c r="X51" i="11" s="1"/>
  <c r="Z51" i="11"/>
  <c r="AE51" i="11"/>
  <c r="S52" i="11"/>
  <c r="AC59" i="2" l="1"/>
  <c r="AE59" i="2" s="1"/>
  <c r="X60" i="2" s="1"/>
  <c r="Z60" i="2" s="1"/>
  <c r="AB60" i="2" s="1"/>
  <c r="U52" i="11"/>
  <c r="AC60" i="2" l="1"/>
  <c r="AE60" i="2" s="1"/>
  <c r="X61" i="2" s="1"/>
  <c r="Z61" i="2" s="1"/>
  <c r="AB61" i="2" s="1"/>
  <c r="W52" i="11"/>
  <c r="X52" i="11" s="1"/>
  <c r="Z52" i="11"/>
  <c r="S53" i="11"/>
  <c r="AE52" i="11"/>
  <c r="AC61" i="2" l="1"/>
  <c r="U53" i="11"/>
  <c r="AE61" i="2" l="1"/>
  <c r="X62" i="2" s="1"/>
  <c r="Z62" i="2" s="1"/>
  <c r="AB62" i="2" s="1"/>
  <c r="W53" i="11"/>
  <c r="X53" i="11" s="1"/>
  <c r="Z53" i="11"/>
  <c r="S54" i="11"/>
  <c r="AE53" i="11"/>
  <c r="AC62" i="2" l="1"/>
  <c r="AE62" i="2" s="1"/>
  <c r="X63" i="2" s="1"/>
  <c r="Z63" i="2" s="1"/>
  <c r="AB63" i="2" s="1"/>
  <c r="U54" i="11"/>
  <c r="AC63" i="2" l="1"/>
  <c r="AE63" i="2" s="1"/>
  <c r="X64" i="2" s="1"/>
  <c r="Z64" i="2" s="1"/>
  <c r="AB64" i="2" s="1"/>
  <c r="W54" i="11"/>
  <c r="X54" i="11" s="1"/>
  <c r="Z54" i="11"/>
  <c r="S55" i="11" s="1"/>
  <c r="AE54" i="11"/>
  <c r="AC64" i="2" l="1"/>
  <c r="U55" i="11"/>
  <c r="AE64" i="2" l="1"/>
  <c r="X65" i="2" s="1"/>
  <c r="Z65" i="2" s="1"/>
  <c r="AB65" i="2" s="1"/>
  <c r="W55" i="11"/>
  <c r="X55" i="11" s="1"/>
  <c r="Z55" i="11"/>
  <c r="AE55" i="11" s="1"/>
  <c r="AC65" i="2" l="1"/>
  <c r="S56" i="11"/>
  <c r="U56" i="11"/>
  <c r="AE65" i="2" l="1"/>
  <c r="X66" i="2" s="1"/>
  <c r="Z66" i="2" s="1"/>
  <c r="AB66" i="2" s="1"/>
  <c r="W56" i="11"/>
  <c r="X56" i="11" s="1"/>
  <c r="Z56" i="11"/>
  <c r="AE56" i="11"/>
  <c r="S57" i="11"/>
  <c r="AC66" i="2" l="1"/>
  <c r="AE66" i="2" s="1"/>
  <c r="X67" i="2" s="1"/>
  <c r="Z67" i="2" s="1"/>
  <c r="AB67" i="2" s="1"/>
  <c r="U57" i="11"/>
  <c r="AC67" i="2" l="1"/>
  <c r="W57" i="11"/>
  <c r="X57" i="11" s="1"/>
  <c r="Z57" i="11"/>
  <c r="S58" i="11"/>
  <c r="AE57" i="11"/>
  <c r="AE67" i="2" l="1"/>
  <c r="X68" i="2" s="1"/>
  <c r="Z68" i="2" s="1"/>
  <c r="AB68" i="2" s="1"/>
  <c r="U58" i="11"/>
  <c r="AC68" i="2" l="1"/>
  <c r="W58" i="11"/>
  <c r="X58" i="11" s="1"/>
  <c r="Z58" i="11"/>
  <c r="AE58" i="11"/>
  <c r="S59" i="11"/>
  <c r="AE68" i="2" l="1"/>
  <c r="X69" i="2" s="1"/>
  <c r="Z69" i="2" s="1"/>
  <c r="AB69" i="2" s="1"/>
  <c r="U59" i="11"/>
  <c r="AC69" i="2" l="1"/>
  <c r="W59" i="11"/>
  <c r="X59" i="11" s="1"/>
  <c r="Z59" i="11"/>
  <c r="AE59" i="11" s="1"/>
  <c r="S60" i="11"/>
  <c r="AE69" i="2" l="1"/>
  <c r="X70" i="2" s="1"/>
  <c r="Z70" i="2" s="1"/>
  <c r="AB70" i="2" s="1"/>
  <c r="U60" i="11"/>
  <c r="AC70" i="2" l="1"/>
  <c r="W60" i="11"/>
  <c r="X60" i="11" s="1"/>
  <c r="Z60" i="11"/>
  <c r="AE60" i="11"/>
  <c r="S61" i="11"/>
  <c r="AE70" i="2" l="1"/>
  <c r="X71" i="2" s="1"/>
  <c r="Z71" i="2" s="1"/>
  <c r="AB71" i="2" s="1"/>
  <c r="U61" i="11"/>
  <c r="AC71" i="2" l="1"/>
  <c r="AE71" i="2" s="1"/>
  <c r="X72" i="2" s="1"/>
  <c r="Z72" i="2" s="1"/>
  <c r="AB72" i="2" s="1"/>
  <c r="W61" i="11"/>
  <c r="X61" i="11" s="1"/>
  <c r="Z61" i="11"/>
  <c r="S62" i="11"/>
  <c r="AE61" i="11"/>
  <c r="AC72" i="2" l="1"/>
  <c r="U62" i="11"/>
  <c r="AE72" i="2" l="1"/>
  <c r="X73" i="2" s="1"/>
  <c r="Z73" i="2" s="1"/>
  <c r="AB73" i="2" s="1"/>
  <c r="W62" i="11"/>
  <c r="X62" i="11" s="1"/>
  <c r="Z62" i="11"/>
  <c r="S63" i="11" s="1"/>
  <c r="AC73" i="2" l="1"/>
  <c r="AE73" i="2" s="1"/>
  <c r="X74" i="2" s="1"/>
  <c r="Z74" i="2" s="1"/>
  <c r="AB74" i="2" s="1"/>
  <c r="AE62" i="11"/>
  <c r="U63" i="11"/>
  <c r="AC74" i="2" l="1"/>
  <c r="AE74" i="2" s="1"/>
  <c r="X75" i="2" s="1"/>
  <c r="Z75" i="2" s="1"/>
  <c r="AB75" i="2" s="1"/>
  <c r="W63" i="11"/>
  <c r="X63" i="11" s="1"/>
  <c r="Z63" i="11"/>
  <c r="S64" i="11" s="1"/>
  <c r="AE63" i="11"/>
  <c r="AC75" i="2" l="1"/>
  <c r="U64" i="11"/>
  <c r="AE75" i="2" l="1"/>
  <c r="X76" i="2" s="1"/>
  <c r="Z76" i="2" s="1"/>
  <c r="AB76" i="2" s="1"/>
  <c r="W64" i="11"/>
  <c r="X64" i="11" s="1"/>
  <c r="Z64" i="11"/>
  <c r="S65" i="11" s="1"/>
  <c r="AC76" i="2" l="1"/>
  <c r="AE76" i="2" s="1"/>
  <c r="X77" i="2" s="1"/>
  <c r="Z77" i="2" s="1"/>
  <c r="AB77" i="2" s="1"/>
  <c r="AE64" i="11"/>
  <c r="U65" i="11"/>
  <c r="AC77" i="2" l="1"/>
  <c r="AE77" i="2" s="1"/>
  <c r="X78" i="2" s="1"/>
  <c r="Z78" i="2" s="1"/>
  <c r="W65" i="11"/>
  <c r="X65" i="11" s="1"/>
  <c r="Z65" i="11"/>
  <c r="S66" i="11"/>
  <c r="AE65" i="11"/>
  <c r="AC78" i="2" l="1"/>
  <c r="U66" i="11"/>
  <c r="AE78" i="2" l="1"/>
  <c r="X79" i="2" s="1"/>
  <c r="W66" i="11"/>
  <c r="X66" i="11" s="1"/>
  <c r="Z66" i="11"/>
  <c r="S67" i="11"/>
  <c r="AE66" i="11"/>
  <c r="U67" i="11" l="1"/>
  <c r="W67" i="11" l="1"/>
  <c r="X67" i="11" s="1"/>
  <c r="Z67" i="11"/>
  <c r="S68" i="11" s="1"/>
  <c r="AE67" i="11"/>
  <c r="Z80" i="2" l="1"/>
  <c r="U68" i="11"/>
  <c r="AB80" i="2" l="1"/>
  <c r="W68" i="11"/>
  <c r="X68" i="11" s="1"/>
  <c r="Z68" i="11"/>
  <c r="AE68" i="11" s="1"/>
  <c r="AC80" i="2" l="1"/>
  <c r="S69" i="11"/>
  <c r="U69" i="11"/>
  <c r="AE80" i="2" l="1"/>
  <c r="W69" i="11"/>
  <c r="X69" i="11" s="1"/>
  <c r="Z69" i="11"/>
  <c r="S70" i="11"/>
  <c r="AE69" i="11"/>
  <c r="X81" i="2" l="1"/>
  <c r="Z81" i="2" s="1"/>
  <c r="U70" i="11"/>
  <c r="AB81" i="2" l="1"/>
  <c r="AC81" i="2" s="1"/>
  <c r="AE81" i="2"/>
  <c r="X82" i="2" s="1"/>
  <c r="Z82" i="2" s="1"/>
  <c r="W70" i="11"/>
  <c r="X70" i="11" s="1"/>
  <c r="Z70" i="11"/>
  <c r="S71" i="11" s="1"/>
  <c r="AB82" i="2" l="1"/>
  <c r="AC82" i="2" s="1"/>
  <c r="AE82" i="2"/>
  <c r="X83" i="2" s="1"/>
  <c r="AE70" i="11"/>
  <c r="U71" i="11"/>
  <c r="Z83" i="2" l="1"/>
  <c r="W71" i="11"/>
  <c r="X71" i="11" s="1"/>
  <c r="Z71" i="11"/>
  <c r="S72" i="11"/>
  <c r="AE71" i="11"/>
  <c r="AB83" i="2" l="1"/>
  <c r="AC83" i="2" s="1"/>
  <c r="AE83" i="2"/>
  <c r="X84" i="2" s="1"/>
  <c r="U72" i="11"/>
  <c r="Z84" i="2" l="1"/>
  <c r="W72" i="11"/>
  <c r="X72" i="11" s="1"/>
  <c r="Z72" i="11"/>
  <c r="S73" i="11" s="1"/>
  <c r="AB84" i="2" l="1"/>
  <c r="AC84" i="2" s="1"/>
  <c r="AE72" i="11"/>
  <c r="U73" i="11"/>
  <c r="AE84" i="2" l="1"/>
  <c r="W73" i="11"/>
  <c r="X73" i="11" s="1"/>
  <c r="Z73" i="11"/>
  <c r="AE73" i="11" s="1"/>
  <c r="X85" i="2" l="1"/>
  <c r="Z85" i="2" s="1"/>
  <c r="AB85" i="2" s="1"/>
  <c r="AC85" i="2" s="1"/>
  <c r="AE85" i="2" l="1"/>
  <c r="X86" i="2" l="1"/>
  <c r="Z86" i="2" s="1"/>
  <c r="AB86" i="2" l="1"/>
  <c r="AC86" i="2" s="1"/>
  <c r="AE86" i="2" s="1"/>
  <c r="X87" i="2" s="1"/>
  <c r="Z87" i="2" s="1"/>
  <c r="AB87" i="2" l="1"/>
  <c r="AC87" i="2" s="1"/>
  <c r="AE87" i="2" l="1"/>
  <c r="X88" i="2" l="1"/>
  <c r="Z88" i="2" s="1"/>
  <c r="AB88" i="2" l="1"/>
  <c r="AC88" i="2" s="1"/>
  <c r="AE88" i="2"/>
  <c r="X89" i="2" s="1"/>
  <c r="Z89" i="2" s="1"/>
  <c r="AB89" i="2" l="1"/>
  <c r="AC89" i="2" s="1"/>
  <c r="AE89" i="2"/>
  <c r="X90" i="2" s="1"/>
  <c r="Z90" i="2" l="1"/>
  <c r="AB90" i="2" l="1"/>
  <c r="AC90" i="2" s="1"/>
  <c r="AE90" i="2"/>
  <c r="X91" i="2" s="1"/>
  <c r="Z91" i="2" l="1"/>
  <c r="AB91" i="2" l="1"/>
  <c r="AC91" i="2" s="1"/>
  <c r="AE91" i="2" l="1"/>
  <c r="X92" i="2" l="1"/>
  <c r="Z92" i="2" s="1"/>
  <c r="AB92" i="2" s="1"/>
  <c r="AC92" i="2" s="1"/>
  <c r="AE92" i="2" l="1"/>
  <c r="X93" i="2" l="1"/>
  <c r="Z93" i="2" s="1"/>
  <c r="AB93" i="2" l="1"/>
  <c r="AC93" i="2" s="1"/>
  <c r="AE93" i="2" s="1"/>
  <c r="X94" i="2" s="1"/>
  <c r="Z94" i="2" s="1"/>
  <c r="AB94" i="2" l="1"/>
  <c r="AC94" i="2" s="1"/>
  <c r="AE94" i="2"/>
  <c r="X95" i="2" s="1"/>
  <c r="Z95" i="2" l="1"/>
  <c r="AB95" i="2" l="1"/>
  <c r="AC95" i="2" s="1"/>
  <c r="AE95" i="2" l="1"/>
  <c r="X96" i="2" l="1"/>
  <c r="Z96" i="2" s="1"/>
  <c r="AB96" i="2" l="1"/>
  <c r="AC96" i="2" s="1"/>
  <c r="AE96" i="2" s="1"/>
  <c r="X97" i="2" s="1"/>
  <c r="Z97" i="2" s="1"/>
  <c r="AB97" i="2" l="1"/>
  <c r="AC97" i="2" s="1"/>
  <c r="AE97" i="2"/>
  <c r="X98" i="2" s="1"/>
  <c r="Z98" i="2" l="1"/>
  <c r="AB98" i="2" l="1"/>
  <c r="AC98" i="2" s="1"/>
  <c r="AE98" i="2" l="1"/>
  <c r="X99" i="2" l="1"/>
  <c r="Z99" i="2" s="1"/>
  <c r="AB99" i="2" l="1"/>
  <c r="AC99" i="2" s="1"/>
  <c r="AE99" i="2"/>
  <c r="X100" i="2" s="1"/>
  <c r="Z100" i="2" s="1"/>
  <c r="AB100" i="2" l="1"/>
  <c r="AC100" i="2" s="1"/>
  <c r="AE100" i="2" s="1"/>
  <c r="X101" i="2" l="1"/>
  <c r="Z101" i="2" s="1"/>
  <c r="AB101" i="2" s="1"/>
  <c r="AC101" i="2" s="1"/>
  <c r="AE101" i="2" l="1"/>
  <c r="X102" i="2" l="1"/>
  <c r="Z102" i="2" s="1"/>
  <c r="AB102" i="2" l="1"/>
  <c r="AC102" i="2" s="1"/>
  <c r="AE102" i="2" s="1"/>
  <c r="X103" i="2" s="1"/>
  <c r="Z103" i="2" s="1"/>
  <c r="AB103" i="2" l="1"/>
  <c r="AC103" i="2" s="1"/>
  <c r="AE103" i="2"/>
  <c r="X104" i="2" s="1"/>
  <c r="Z104" i="2" l="1"/>
  <c r="AB104" i="2" l="1"/>
  <c r="AC104" i="2" s="1"/>
  <c r="AE104" i="2"/>
  <c r="X105" i="2" l="1"/>
  <c r="Z105" i="2" s="1"/>
  <c r="AB105" i="2" s="1"/>
  <c r="AC105" i="2" s="1"/>
  <c r="AE105" i="2" l="1"/>
  <c r="X106" i="2" l="1"/>
  <c r="Z106" i="2" s="1"/>
  <c r="AB106" i="2" l="1"/>
  <c r="AC106" i="2" s="1"/>
  <c r="AE106" i="2"/>
  <c r="X107" i="2" s="1"/>
  <c r="Z107" i="2" s="1"/>
  <c r="AB107" i="2" l="1"/>
  <c r="AC107" i="2" s="1"/>
  <c r="AE107" i="2"/>
  <c r="X108" i="2" s="1"/>
  <c r="Z108" i="2" l="1"/>
  <c r="AB108" i="2" l="1"/>
  <c r="AC108" i="2" s="1"/>
  <c r="AE108" i="2" s="1"/>
  <c r="X109" i="2" s="1"/>
  <c r="Z109" i="2" l="1"/>
  <c r="AB109" i="2" l="1"/>
  <c r="AC109" i="2" s="1"/>
  <c r="AE109" i="2" s="1"/>
  <c r="X110" i="2" s="1"/>
  <c r="Z110" i="2" l="1"/>
  <c r="AB110" i="2" l="1"/>
  <c r="AC110" i="2" s="1"/>
  <c r="AE110" i="2"/>
  <c r="X111" i="2" s="1"/>
  <c r="Z111" i="2" l="1"/>
  <c r="AB111" i="2" l="1"/>
  <c r="AC111" i="2" s="1"/>
  <c r="AE111" i="2" l="1"/>
  <c r="X112" i="2" l="1"/>
  <c r="Z112" i="2" s="1"/>
  <c r="AB112" i="2" s="1"/>
  <c r="AC112" i="2" s="1"/>
  <c r="AE112" i="2" l="1"/>
  <c r="X113" i="2" l="1"/>
  <c r="Z113" i="2" s="1"/>
  <c r="AB113" i="2" s="1"/>
  <c r="AC113" i="2" s="1"/>
  <c r="AE113" i="2" l="1"/>
  <c r="X114" i="2" l="1"/>
  <c r="Z114" i="2" s="1"/>
  <c r="AB114" i="2" l="1"/>
  <c r="AC114" i="2" s="1"/>
  <c r="AE114" i="2"/>
  <c r="X115" i="2" s="1"/>
  <c r="Z115" i="2" s="1"/>
  <c r="AB115" i="2" l="1"/>
  <c r="AC115" i="2" s="1"/>
  <c r="AE115" i="2"/>
  <c r="X116" i="2" s="1"/>
  <c r="Z116" i="2" l="1"/>
  <c r="AB116" i="2" l="1"/>
  <c r="AC116" i="2" s="1"/>
  <c r="AE116" i="2" l="1"/>
  <c r="X117" i="2" l="1"/>
  <c r="Z117" i="2" s="1"/>
  <c r="AB117" i="2" s="1"/>
  <c r="AC117" i="2" s="1"/>
  <c r="AE117" i="2" l="1"/>
  <c r="X118" i="2" l="1"/>
  <c r="Z118" i="2" s="1"/>
  <c r="AB118" i="2" l="1"/>
  <c r="AC118" i="2" s="1"/>
  <c r="AE118" i="2"/>
  <c r="X119" i="2" s="1"/>
  <c r="Z119" i="2" s="1"/>
  <c r="AB119" i="2" l="1"/>
  <c r="AC119" i="2" s="1"/>
  <c r="AE119" i="2"/>
  <c r="X120" i="2" s="1"/>
  <c r="Z120" i="2" l="1"/>
  <c r="AB120" i="2" l="1"/>
  <c r="AC120" i="2" s="1"/>
  <c r="AE120" i="2"/>
  <c r="X121" i="2" s="1"/>
  <c r="Z121" i="2" l="1"/>
  <c r="AB121" i="2" l="1"/>
  <c r="AC121" i="2" s="1"/>
  <c r="AE121" i="2" l="1"/>
  <c r="X122" i="2" l="1"/>
  <c r="Z122" i="2" s="1"/>
  <c r="AB122" i="2" s="1"/>
  <c r="AC122" i="2" s="1"/>
  <c r="AE122" i="2" l="1"/>
  <c r="X123" i="2" l="1"/>
  <c r="Z123" i="2" s="1"/>
  <c r="AB123" i="2" l="1"/>
  <c r="AC123" i="2" s="1"/>
  <c r="AE123" i="2"/>
  <c r="X124" i="2" s="1"/>
  <c r="Z124" i="2" s="1"/>
  <c r="AB124" i="2" l="1"/>
  <c r="AC124" i="2" s="1"/>
  <c r="AE124" i="2" s="1"/>
  <c r="X125" i="2" s="1"/>
  <c r="Z125" i="2" l="1"/>
  <c r="AB125" i="2" l="1"/>
  <c r="AC125" i="2" s="1"/>
  <c r="AE125" i="2"/>
  <c r="X126" i="2" s="1"/>
  <c r="Z126" i="2" l="1"/>
  <c r="AB126" i="2" l="1"/>
  <c r="AC126" i="2" s="1"/>
  <c r="AE126" i="2"/>
  <c r="X127" i="2" s="1"/>
  <c r="Z127" i="2" l="1"/>
  <c r="AB127" i="2" l="1"/>
  <c r="AC127" i="2" s="1"/>
  <c r="AE127" i="2" s="1"/>
</calcChain>
</file>

<file path=xl/sharedStrings.xml><?xml version="1.0" encoding="utf-8"?>
<sst xmlns="http://schemas.openxmlformats.org/spreadsheetml/2006/main" count="910" uniqueCount="586">
  <si>
    <t xml:space="preserve">       (6 marks)</t>
  </si>
  <si>
    <t xml:space="preserve">(b)    As a financial analyst, you are analysing mortgages using a loan amortisation schedule and you are presented </t>
  </si>
  <si>
    <t xml:space="preserve">        with the following information:</t>
  </si>
  <si>
    <t>Loan principal amount (Sh.)</t>
  </si>
  <si>
    <t>Annual interest rate</t>
  </si>
  <si>
    <t>17%</t>
  </si>
  <si>
    <t>Loan period (in months)</t>
  </si>
  <si>
    <t>Repayment type</t>
  </si>
  <si>
    <t>End</t>
  </si>
  <si>
    <t xml:space="preserve">       Required:</t>
  </si>
  <si>
    <t xml:space="preserve">      (i)       Compute the monthly repayment amount and prepare a loan amortisation schedule.                                  </t>
  </si>
  <si>
    <t xml:space="preserve">      (ii)      Construct a graph indicating the percentage of capital outstanding for the 48 months term loan.                                  </t>
  </si>
  <si>
    <t xml:space="preserve">       (3 marks)</t>
  </si>
  <si>
    <t xml:space="preserve">      (iii)     Consider the following options:</t>
  </si>
  <si>
    <t>Option</t>
  </si>
  <si>
    <t>Monthly interest rate (%)</t>
  </si>
  <si>
    <t>Term</t>
  </si>
  <si>
    <t>Option 1</t>
  </si>
  <si>
    <t>48 months</t>
  </si>
  <si>
    <t>Option 2</t>
  </si>
  <si>
    <t>60 months</t>
  </si>
  <si>
    <t>Option 3</t>
  </si>
  <si>
    <t>36 months</t>
  </si>
  <si>
    <t xml:space="preserve">               Required:</t>
  </si>
  <si>
    <t xml:space="preserve">               Use a two-way data table to determine which option would be the most favourable to the investor, that considers </t>
  </si>
  <si>
    <t xml:space="preserve">               lower interest payments.</t>
  </si>
  <si>
    <t>(5 marks)</t>
  </si>
  <si>
    <t>QUESTION 22:</t>
  </si>
  <si>
    <t>(a)</t>
  </si>
  <si>
    <t>Olifia Ltd. is evaluating a project with the following characteristics:</t>
  </si>
  <si>
    <t>1.</t>
  </si>
  <si>
    <t>Fixed capital investment is Sh.2,000,000.</t>
  </si>
  <si>
    <t>2.</t>
  </si>
  <si>
    <t>The project has an expected useful life of six years.</t>
  </si>
  <si>
    <t>3.</t>
  </si>
  <si>
    <t xml:space="preserve">The initial investment in net working capital is Sh.200,000. At the end of each year, net working capital must be increased so that </t>
  </si>
  <si>
    <t>the cumulative investment in net working capital is one-sixth of the next year's projected sales.</t>
  </si>
  <si>
    <t>4.</t>
  </si>
  <si>
    <t>The fixed capital is depreciated at the rate of 30% in Year 1, 35% in Year 2, 20% in Year 3, 10% in Year 4, 5% in Year 5, and 0% in Year 6.</t>
  </si>
  <si>
    <t>5.</t>
  </si>
  <si>
    <t xml:space="preserve">Sales are Sh.1,200,000 in Year 1. They grow at 25% annual rate for the next two years and then grow at 10% annual rate  for the last </t>
  </si>
  <si>
    <t>three years.</t>
  </si>
  <si>
    <t>6.</t>
  </si>
  <si>
    <t>Fixed cash operating expenses are Sh.150,000 for Years 1-3 and Sh.130,000 for Years 4-6.</t>
  </si>
  <si>
    <t>7.</t>
  </si>
  <si>
    <t>Variable cash operating expenses are 40% of sales in Year 1, 39% of sales in Year 2 and 38% of sales in Years 3-6.</t>
  </si>
  <si>
    <t>8.</t>
  </si>
  <si>
    <t>Olifia Ltd.'s marginal tax rate is 30%.</t>
  </si>
  <si>
    <t>9.</t>
  </si>
  <si>
    <t xml:space="preserve">Olifia Ltd. will sell its fixed capital investments for Sh.150,000 when the project terminates and recapture its cumulative investment </t>
  </si>
  <si>
    <t>in net working capital. Income taxes will be paid on any gains.</t>
  </si>
  <si>
    <t>10.</t>
  </si>
  <si>
    <t>The project's required rate of return is 12%.</t>
  </si>
  <si>
    <t>11.</t>
  </si>
  <si>
    <t xml:space="preserve">If taxable income on the project is negative in any one year, the loss will offset gains elsewhere in the corporation, resulting in tax </t>
  </si>
  <si>
    <t xml:space="preserve">savings. </t>
  </si>
  <si>
    <t>Required:</t>
  </si>
  <si>
    <t>(i)</t>
  </si>
  <si>
    <t xml:space="preserve">Determine whether this is a profitable investment using the Net Present Value (NPV) and  Internal Rate of Return (IRR) methods.                                 </t>
  </si>
  <si>
    <t>(15 marks)</t>
  </si>
  <si>
    <t>(ii)</t>
  </si>
  <si>
    <t xml:space="preserve">If the tax rate increases to 40% and the required rate of return increases to 14%, determine whether the project is still profitable.                  </t>
  </si>
  <si>
    <t>QUESTION 24:</t>
  </si>
  <si>
    <t>Joan Akinyi is a financial analyst who has approached you to analyse a client's loan structure with the following information:</t>
  </si>
  <si>
    <t>Initial loan amount: Sh.5,700,000.</t>
  </si>
  <si>
    <t>Rate of interest: 12.5% per annum.</t>
  </si>
  <si>
    <t>Period: 10 years payable monthly in arrears.</t>
  </si>
  <si>
    <t>Additional information:</t>
  </si>
  <si>
    <t>balance in the initially agreed period.</t>
  </si>
  <si>
    <t>The rate of interest is adjusted to 13.8% per annum with effect from the end of the fourth year.</t>
  </si>
  <si>
    <t>The monthly repayment is recomputed to fully pay the loan balance in twelve months less than the initially agreed period.</t>
  </si>
  <si>
    <t xml:space="preserve">The borrower enhances his monthly repayments by Sh.18,000 per month from the end of month 64.  </t>
  </si>
  <si>
    <t>The borrower is advanced an additional Sh.700,000 at the end of month 70 and the monthly repayment is recomputed</t>
  </si>
  <si>
    <t>Required</t>
  </si>
  <si>
    <t xml:space="preserve">Using Ms Excel, assist Joan Akinyi  to prepare an entire duration loan amortisation schedule factoring in the information provided above.      </t>
  </si>
  <si>
    <t xml:space="preserve">       </t>
  </si>
  <si>
    <t xml:space="preserve">       (Total: 20 marks)</t>
  </si>
  <si>
    <t>SECTION II – TOTAL 60 MARKS</t>
  </si>
  <si>
    <t>Question Twenty Three</t>
  </si>
  <si>
    <t xml:space="preserve">(a)        You are a financial management consultant in an investment firm. A potential client requests you to analyse an investment </t>
  </si>
  <si>
    <t xml:space="preserve">            with the following features: </t>
  </si>
  <si>
    <t xml:space="preserve">            ·               The cost of the investment is Sh.10,000,000. </t>
  </si>
  <si>
    <t xml:space="preserve">            ·              The investment pays out a sum of Sh.“X” at the end of the first year; this payout grows at the rate of 10 percent per year </t>
  </si>
  <si>
    <t xml:space="preserve">                        for 11 years. </t>
  </si>
  <si>
    <t xml:space="preserve">            Required:</t>
  </si>
  <si>
    <t xml:space="preserve">           (i)        If your discount rate is 15%, calculate the minimum value of “X” that should attract the investor to make the investment. </t>
  </si>
  <si>
    <t xml:space="preserve">                       (3 marks)</t>
  </si>
  <si>
    <t xml:space="preserve">          (ii)       The respective “NPVs” of the investment if the discount rates were to range between 10% and 15%.    (3 marks)</t>
  </si>
  <si>
    <t>Scenario</t>
  </si>
  <si>
    <t>Discount rate</t>
  </si>
  <si>
    <t>Initial cost</t>
  </si>
  <si>
    <t>Starting cash flow</t>
  </si>
  <si>
    <t xml:space="preserve">Growth in initial cash flow </t>
  </si>
  <si>
    <t>Sh.</t>
  </si>
  <si>
    <t>Scenario 1</t>
  </si>
  <si>
    <t>Scenario 2</t>
  </si>
  <si>
    <t>Scenario 3</t>
  </si>
  <si>
    <t xml:space="preserve">             Prepare detailed outcomes of the project under each of the above scenarios.                                            (8 marks) </t>
  </si>
  <si>
    <t xml:space="preserve">(c)       Assume that an investor takes an investment loan of Sh.150,000,000. The loan is for 48 months at an annual interest rate of </t>
  </si>
  <si>
    <t xml:space="preserve">           15 percent (which the bank   translates to a   monthly rate of 15%/12   = 1.25%).  The payments are to be made at the end of each</t>
  </si>
  <si>
    <t xml:space="preserve">           of the next 48 months.</t>
  </si>
  <si>
    <t xml:space="preserve">           Required:  </t>
  </si>
  <si>
    <t xml:space="preserve">           (i)       Calculate the monthly payment on the loan.                                                                                           (2 marks)</t>
  </si>
  <si>
    <t>Monthly</t>
  </si>
  <si>
    <t xml:space="preserve">           (ii)      Assume that you have the following options to negotiate with the bank:</t>
  </si>
  <si>
    <t>Annual interest rate (%)</t>
  </si>
  <si>
    <t xml:space="preserve">                      Use a two-way data table to determine which option would be the most favourable to the investor.                    (4 marks)</t>
  </si>
  <si>
    <t xml:space="preserve">    (Total: 20 marks)</t>
  </si>
  <si>
    <t>Registration Number:</t>
  </si>
  <si>
    <t>Question Twenty Two</t>
  </si>
  <si>
    <t>Mrs Jane Wakwa is the Marketing Director of Vuma Limited, a company that makes and sells electronic devices.</t>
  </si>
  <si>
    <t>The company is considering the launch of a new mobile phone model branded “Trex”. The available data is not fully reliable though Jane still feels</t>
  </si>
  <si>
    <t xml:space="preserve"> that she can make a recommendation on whether or not to launch “Trex”.</t>
  </si>
  <si>
    <t>1.     Trex is estimated to have a shelf life of five years commencing year 2023.</t>
  </si>
  <si>
    <t>2.     Trex will require the purchase of a machine at a cost of Sh.100 million at the end of year 2022, after which the machine will be  sold for Sh.20 million</t>
  </si>
  <si>
    <t xml:space="preserve">        at the end of the fifth year.</t>
  </si>
  <si>
    <t>3.     The selling price and cost structures of Trex (for the first year 2023) with expected inflation factors are as follows:</t>
  </si>
  <si>
    <t xml:space="preserve">Sh. </t>
  </si>
  <si>
    <t>Inflation rate (%) - from year 2024 onwards</t>
  </si>
  <si>
    <t>(Per unit)</t>
  </si>
  <si>
    <t>Selling price</t>
  </si>
  <si>
    <t>Material costs</t>
  </si>
  <si>
    <t>Direct labour costs</t>
  </si>
  <si>
    <t>Incremental fixed cost (excludes depreciation)</t>
  </si>
  <si>
    <t>4.      The company is eligible for capital allowances (depreciation for tax purposes) at the rate of 25% on reducing balance.</t>
  </si>
  <si>
    <t>5.     At the end of the project when the machine is sold, any gain or loss on disposal will be considered for tax.</t>
  </si>
  <si>
    <t xml:space="preserve">6.     The tax rate on income and capital allowances is at the rate of 30% per annum. Assume that the tax for a given period is paid in the same year.   </t>
  </si>
  <si>
    <t xml:space="preserve">7.     The project will require an initial investment in working capital of Sh.20 million which will be increasing by Sh.5 million at the end of each year to cater for </t>
  </si>
  <si>
    <t xml:space="preserve">        general inflation. The whole amount together with the periodic increase will, however, revert at the end of the project.</t>
  </si>
  <si>
    <t xml:space="preserve">8.     Experience has shown that demand for new products is not exactly known in year one but tends to be stable thereafter. Jane has come up with the following </t>
  </si>
  <si>
    <t xml:space="preserve">       estimates of demand for year 2023:</t>
  </si>
  <si>
    <t xml:space="preserve">  </t>
  </si>
  <si>
    <t>Probability</t>
  </si>
  <si>
    <t>Expected sales (Units)</t>
  </si>
  <si>
    <t xml:space="preserve">         Jane expects an initial increase in demand in year 2024 of 25% then a decline of 50% in year 2025. This level will remain the same till the end of the project.</t>
  </si>
  <si>
    <t>9.     Vuma Limited has a real weighted average cost of capital (WACC) of 8% and general inflation is expected to be at 4%.</t>
  </si>
  <si>
    <t xml:space="preserve">        Due to the risk of the project, Jane feels that the relevant nominal WACC should be increased by 3%.</t>
  </si>
  <si>
    <t xml:space="preserve">        Required:</t>
  </si>
  <si>
    <t xml:space="preserve">        Compute the following:</t>
  </si>
  <si>
    <t xml:space="preserve">       (a)      The weighted average cost of capital to be used to evaluate the project.</t>
  </si>
  <si>
    <t>(2 marks)</t>
  </si>
  <si>
    <t xml:space="preserve">       (b)      The relevant cash flows over the project period.</t>
  </si>
  <si>
    <t xml:space="preserve">       (c)      The net present value (NPV) of the project. Advise on the viability of the project.</t>
  </si>
  <si>
    <t>(3 marks)</t>
  </si>
  <si>
    <t xml:space="preserve">      (Total: 20 marks)</t>
  </si>
  <si>
    <t xml:space="preserve">You are evaluating a four-year project with an initial investment of Sh.10,000,000 on 1 January 2023 and the following cash flow characteristics: </t>
  </si>
  <si>
    <t>Date</t>
  </si>
  <si>
    <t>Cash flow (Sh.)</t>
  </si>
  <si>
    <t xml:space="preserve">(a)        (i)        Calculate the NPV and XNPV of the project and hence determine whether the project is viable. </t>
  </si>
  <si>
    <t>(6 marks)</t>
  </si>
  <si>
    <t xml:space="preserve">            (ii)       Highlighting the cause of the difference between NPV and XNPV, explain which one you would use in your analysis and why.</t>
  </si>
  <si>
    <t xml:space="preserve">   (4 marks) </t>
  </si>
  <si>
    <t xml:space="preserve">(b)       (i)       Calculate the IRR and XIRR of the project and hence determine whether the project is viable. </t>
  </si>
  <si>
    <t xml:space="preserve">            (ii)      Highlighting the cause of the difference between IRR and XIRR, explain which one you would use in your analysis and why.  </t>
  </si>
  <si>
    <t>(4 marks)</t>
  </si>
  <si>
    <t>(Total: 20 marks)</t>
  </si>
  <si>
    <t>SECTION II (60 MARKS)</t>
  </si>
  <si>
    <t>Question Twenty One</t>
  </si>
  <si>
    <t>Miwani Limited plans to invest in a 5-year project in the year 2024. However, the information on the project is not reliable.</t>
  </si>
  <si>
    <t>The company would wish to carry out a scenario analysis:</t>
  </si>
  <si>
    <t xml:space="preserve">The following data is available given three scenarios. The optimistic and pessimistic scenarios reflect the % variance </t>
  </si>
  <si>
    <t>from expected.</t>
  </si>
  <si>
    <t>Expected</t>
  </si>
  <si>
    <t>Optimistic</t>
  </si>
  <si>
    <t>Pessimistic</t>
  </si>
  <si>
    <t xml:space="preserve">Initial Investment </t>
  </si>
  <si>
    <t>+30%</t>
  </si>
  <si>
    <t>Before tax residual value</t>
  </si>
  <si>
    <t>+10%</t>
  </si>
  <si>
    <t>-10%</t>
  </si>
  <si>
    <t>Initial working capital</t>
  </si>
  <si>
    <t>-5%</t>
  </si>
  <si>
    <t>+5%</t>
  </si>
  <si>
    <t>Revenues</t>
  </si>
  <si>
    <t>-15%</t>
  </si>
  <si>
    <t>Direct costs</t>
  </si>
  <si>
    <t>-20%</t>
  </si>
  <si>
    <t>+20%</t>
  </si>
  <si>
    <t>Incremental fixed costs</t>
  </si>
  <si>
    <t xml:space="preserve">Capital allowance </t>
  </si>
  <si>
    <t>N/A</t>
  </si>
  <si>
    <t>Inflation rate</t>
  </si>
  <si>
    <t>3%</t>
  </si>
  <si>
    <t>8%</t>
  </si>
  <si>
    <t>Tax rate</t>
  </si>
  <si>
    <t xml:space="preserve">1.       The inflation rate applies to revenues, direct costs, incremental fixed costs and working capital. </t>
  </si>
  <si>
    <t xml:space="preserve">          Working capital will be recovered at the end of the project. </t>
  </si>
  <si>
    <t xml:space="preserve">2.       Revenues and costs arise from year 1. </t>
  </si>
  <si>
    <t>3.       The capital allowance rate is on reducing balance basis.</t>
  </si>
  <si>
    <t>4.       Tax will be applied on the gain/loss on disposal of the asset.</t>
  </si>
  <si>
    <t>5.       The weighted average cost of capital for the company is 15%.</t>
  </si>
  <si>
    <t>Compute the following for each of the three scenarios:</t>
  </si>
  <si>
    <t xml:space="preserve">(a)        Net Present Value (NPV).                                                                                                    </t>
  </si>
  <si>
    <t xml:space="preserve">       (10 marks)</t>
  </si>
  <si>
    <t xml:space="preserve">(b)        Internal Rate of Return (IRR).                            </t>
  </si>
  <si>
    <t xml:space="preserve">                                                                                                </t>
  </si>
  <si>
    <t>QUESTION 22</t>
  </si>
  <si>
    <t>Riziki Limited is considering a project with the following details:</t>
  </si>
  <si>
    <t xml:space="preserve">                   Sh.</t>
  </si>
  <si>
    <t xml:space="preserve">Initial capital cost </t>
  </si>
  <si>
    <t xml:space="preserve">Residual value </t>
  </si>
  <si>
    <t xml:space="preserve">Selling price per unit </t>
  </si>
  <si>
    <t xml:space="preserve">Variable cost per unit </t>
  </si>
  <si>
    <t>Fixed costs per year</t>
  </si>
  <si>
    <t>1. Annual number of units sold are 30,000.</t>
  </si>
  <si>
    <t>2.The project has a useful life of 5 years.</t>
  </si>
  <si>
    <t xml:space="preserve">3. The company uses a weighted average cost of capital (WACC) of 12%. </t>
  </si>
  <si>
    <t>(a)   Compute the base net present value (NPV).</t>
  </si>
  <si>
    <t>(b)   Carry out a sensitivity analysis of NPV assuming an adverse variance of 5% for all the inputs except project life and weighted average cost of capital (WACC).</t>
  </si>
  <si>
    <t>(c)   Prepare an appropriate chart to indicate the different NPVs for each scenario in (b) above.</t>
  </si>
  <si>
    <t>NB:  Adverse variance in this case means a decrease in cash inflows or an increase in cash outflows.</t>
  </si>
  <si>
    <t>Safari Limited is evaluating a project with the following details:</t>
  </si>
  <si>
    <t>Initial Investment</t>
  </si>
  <si>
    <t>Sh.100,000,000</t>
  </si>
  <si>
    <t>Residual Value</t>
  </si>
  <si>
    <t>Sh.10,000,000</t>
  </si>
  <si>
    <t>Year 1 Project Cash Flows</t>
  </si>
  <si>
    <t>Sh.25,000,000</t>
  </si>
  <si>
    <t>Annual Cash Flow growth rate from Year 2</t>
  </si>
  <si>
    <t>Project Life</t>
  </si>
  <si>
    <t>5 Years</t>
  </si>
  <si>
    <t>(a)      Compute the following Project Metrics:</t>
  </si>
  <si>
    <t xml:space="preserve">          (i)       The Payback Period.</t>
  </si>
  <si>
    <t xml:space="preserve">          (ii)      The Net Present Value (NPV) (Assume a discount rate of 12%).</t>
  </si>
  <si>
    <t xml:space="preserve">          (iii)     The Profitability Index (PI) (Assume a discount rate of 12%).</t>
  </si>
  <si>
    <t>(b)     Using a graph, determine the project's Internal Rate of Return.</t>
  </si>
  <si>
    <t>(Total: 30 marks)</t>
  </si>
  <si>
    <t>CA35P page 7</t>
  </si>
  <si>
    <t>Out of 10</t>
  </si>
  <si>
    <t>Manoti Were has recently been thinking of buying his dream car, a few years after joining Rafiki Sacco. Having established a Mercedes E-Class vehicle would cost</t>
  </si>
  <si>
    <t>between Sh.2.7 million to Sh.3 million, he approached the Sacco for a loan of Sh.2 million with the difference to come from the sale of his current car with a current</t>
  </si>
  <si>
    <t xml:space="preserve"> market re-sale value of Sh.1 million.  </t>
  </si>
  <si>
    <t>The Sacco confirmed that Manoti Were qualifies for the loan and were willing to advance him a new loan under the following terms and conditions:</t>
  </si>
  <si>
    <t>Loan amount (Sh.)</t>
  </si>
  <si>
    <t>Period of payment (Years)</t>
  </si>
  <si>
    <t>Repayment frequency</t>
  </si>
  <si>
    <t>Monthly repayment (Sh.)</t>
  </si>
  <si>
    <t>1. The loan is to be repayed on a monthly basis.</t>
  </si>
  <si>
    <t>2. The first installment is due at the end of the first month after loan disbursment.</t>
  </si>
  <si>
    <t>Manoti Were has approached you for advise as he does not understand how the repayment amounts and interest on loan are arrived at.</t>
  </si>
  <si>
    <t>(a)  Using an appropriate Ms Excel function, confirm to Manoti Were that indeed the monthly repayment amount of Sh.43,485 is actually correct.</t>
  </si>
  <si>
    <t xml:space="preserve">(b)   Prepare a monthly loan armotisation schedule for the above loan for Manoti Were to see how the loan clears by the end of 5 years. </t>
  </si>
  <si>
    <t>(12 marks)</t>
  </si>
  <si>
    <t xml:space="preserve">       (Have columns for period, monthly repayment, principle, interest and loan balance)</t>
  </si>
  <si>
    <t xml:space="preserve">(c)  As a customer centric Sacco, the Sacco members are allowed to vary the loan terms to their preferences as long as it is alligned to the loan terms.  </t>
  </si>
  <si>
    <t xml:space="preserve">      Help Manoti Were to fill the table below with the correct repayment period and loan amount in columns C and D respectively that allows for him to make monthly </t>
  </si>
  <si>
    <t xml:space="preserve">      repayment amount of Sh.35,000 and not the proposed Sh.43,485.</t>
  </si>
  <si>
    <r>
      <rPr>
        <b/>
        <sz val="12"/>
        <color theme="1"/>
        <rFont val="Times New Roman"/>
        <family val="1"/>
      </rPr>
      <t>Details</t>
    </r>
    <r>
      <rPr>
        <sz val="12"/>
        <color theme="1"/>
        <rFont val="Times New Roman"/>
        <family val="1"/>
      </rPr>
      <t xml:space="preserve"> </t>
    </r>
  </si>
  <si>
    <t>Bank Proposal</t>
  </si>
  <si>
    <t xml:space="preserve">Charged Amount </t>
  </si>
  <si>
    <t>C</t>
  </si>
  <si>
    <t>D</t>
  </si>
  <si>
    <t>Term (months)</t>
  </si>
  <si>
    <t>Monthly payment</t>
  </si>
  <si>
    <t xml:space="preserve">            CA35P Page 6</t>
  </si>
  <si>
    <t xml:space="preserve">             Out of 9</t>
  </si>
  <si>
    <t xml:space="preserve">          b)           Assume that you have three project scenarios as outlined below:</t>
  </si>
  <si>
    <t xml:space="preserve">Mustard Limited is planning to launch a new product branded "Malinex" beginning January 2025. </t>
  </si>
  <si>
    <t>The following data relates to the launch of the product:</t>
  </si>
  <si>
    <t>Year</t>
  </si>
  <si>
    <t>End 2024</t>
  </si>
  <si>
    <t>Initial investment (Sh.''000")</t>
  </si>
  <si>
    <t>Resale value (Sh."000")</t>
  </si>
  <si>
    <t>Production and sale quantities (units)</t>
  </si>
  <si>
    <t>Selling price per unit (Sh.)</t>
  </si>
  <si>
    <t>Variable cost per unit (Sh.)</t>
  </si>
  <si>
    <t>Total fixed costs (Sh."000")</t>
  </si>
  <si>
    <t>Depreciation (Sh."000")</t>
  </si>
  <si>
    <t xml:space="preserve">1.     Corporation tax  will be charged  at the rate of 30% and is paid annualy at the end of the same year when earned. Tax will also </t>
  </si>
  <si>
    <t>apply on the disposal of the machine at the end of the project's life.</t>
  </si>
  <si>
    <t xml:space="preserve">2.     Depreciation is the same as capital allowances. </t>
  </si>
  <si>
    <t xml:space="preserve">3.     Working capital of Sh.20 million will be required at the beginning of the project.  This will increase at Sh.5 million for each of the 4 years, and then </t>
  </si>
  <si>
    <t xml:space="preserve">released at the end of the project life in 2029. </t>
  </si>
  <si>
    <t xml:space="preserve">(a)     Compute the Return on Investment (ROI) of the project.  </t>
  </si>
  <si>
    <t>(b)     Compute the projects after tax cash flows over the five years.</t>
  </si>
  <si>
    <t xml:space="preserve">(c)     Plot a graph of the project's Net Present Value (NPV) profile given the weighted average cost of capital (WACC) ranging from 1% to 15%.  </t>
  </si>
  <si>
    <t>(d)     Determine the project's Internal Rate of Return (IRR).</t>
  </si>
  <si>
    <t xml:space="preserve">(e)     Compute the project's profitability Index (PI) at 10% weighted average cost of capital (WACC).   </t>
  </si>
  <si>
    <r>
      <t>1.     An additional amount of Sh.550,000 is repaid with the 20</t>
    </r>
    <r>
      <rPr>
        <vertAlign val="superscript"/>
        <sz val="16"/>
        <color theme="1"/>
        <rFont val="Times New Roman"/>
        <family val="1"/>
      </rPr>
      <t>th</t>
    </r>
    <r>
      <rPr>
        <sz val="16"/>
        <color theme="1"/>
        <rFont val="Times New Roman"/>
        <family val="1"/>
      </rPr>
      <t xml:space="preserve">  installment and the monthly installment recomputed to fully pay the loan</t>
    </r>
  </si>
  <si>
    <t>Viongozi Enterprise is considering investing in a project with the following details:</t>
  </si>
  <si>
    <t>Sh."000"</t>
  </si>
  <si>
    <t xml:space="preserve">Initial capital outlay </t>
  </si>
  <si>
    <t>1.      If implemented, the project has a potential sales value of  38,000 units per annum.</t>
  </si>
  <si>
    <t>2.     The project has a useful life of 5 years.</t>
  </si>
  <si>
    <t xml:space="preserve">3.     Viongozi Enterprise uses a weighted average cost of capital (WACC) of 11%. </t>
  </si>
  <si>
    <t xml:space="preserve">4.     For better perspective, the management would like to see the variability in the project returns given a 7.5% </t>
  </si>
  <si>
    <t xml:space="preserve">  adverse change in the project details.</t>
  </si>
  <si>
    <t>5.     For each scenario of input variability, the rest of the inputs are restored to the default input values.</t>
  </si>
  <si>
    <t>(a)       Compute the base net present value (NPV) of the project.</t>
  </si>
  <si>
    <t>(b)       Carry out the NPV sensitivity analysis of all the project inputs except residual value and project life.</t>
  </si>
  <si>
    <t>(c)       Prepare an appropriate chart to indicate the different NPVs for each scenario in (b) above.</t>
  </si>
  <si>
    <t>(d)      Identify the inputs variability where the project still remain viable.</t>
  </si>
  <si>
    <t>SECTION II  (60 MARKS)</t>
  </si>
  <si>
    <t>Section II comprises  Question 21 and Question 22. Answer BOTH questions.</t>
  </si>
  <si>
    <t>QUESTION 21:</t>
  </si>
  <si>
    <t>You are a financial analyst tasked with modelling the financial performance of Evolve Autoworks Ltd., a leading player in the automotive industry. The company is currently being</t>
  </si>
  <si>
    <t>evaluated for acquisition by a private equity (PE) firm.</t>
  </si>
  <si>
    <t>The financial information provided below corresponds to Year 0, the base year:</t>
  </si>
  <si>
    <t>Revenue: Sh.900 million.</t>
  </si>
  <si>
    <t>Cost of goods sold (COGS): Sh.350 million.</t>
  </si>
  <si>
    <t>(iii)</t>
  </si>
  <si>
    <t>Operating expenses: Sh.120 million.</t>
  </si>
  <si>
    <t>(iv)</t>
  </si>
  <si>
    <t>Earnings before interest, tax, depreciation and amortisation (EBITDA) multiple for acquisition valuation: 5.5x EBITDA.</t>
  </si>
  <si>
    <t>(v)</t>
  </si>
  <si>
    <t>Acquisition financing structure:</t>
  </si>
  <si>
    <r>
      <t>·</t>
    </r>
    <r>
      <rPr>
        <sz val="12"/>
        <color rgb="FF000000"/>
        <rFont val="Times New Roman"/>
        <family val="1"/>
      </rPr>
      <t xml:space="preserve">    40% senior debt, to be repaid in equal annual payments over 10 years.</t>
    </r>
  </si>
  <si>
    <r>
      <t>·</t>
    </r>
    <r>
      <rPr>
        <sz val="12"/>
        <color rgb="FF000000"/>
        <rFont val="Times New Roman"/>
        <family val="1"/>
        <charset val="2"/>
      </rPr>
      <t xml:space="preserve">    20% mezzanine debt, to be repaid in equal annual payments over 8 years.</t>
    </r>
  </si>
  <si>
    <r>
      <t>·</t>
    </r>
    <r>
      <rPr>
        <sz val="12"/>
        <color rgb="FF000000"/>
        <rFont val="Times New Roman"/>
        <family val="1"/>
        <charset val="2"/>
      </rPr>
      <t xml:space="preserve">    40% equity contribution.</t>
    </r>
  </si>
  <si>
    <t>(vi)</t>
  </si>
  <si>
    <t>Corporate tax rate: 30%.</t>
  </si>
  <si>
    <t>(vii)</t>
  </si>
  <si>
    <t>Capital expenditure (CapEx): 2.5% of annual revenue.</t>
  </si>
  <si>
    <t>Additional assumptions for financial projections:</t>
  </si>
  <si>
    <t>1 .</t>
  </si>
  <si>
    <t>Revenue is expected to grow at an annual rate of 10% over the next five years.</t>
  </si>
  <si>
    <t>2 .</t>
  </si>
  <si>
    <t>The COGS will remain a fixed percentage of revenue, maintaining a 58.33% ratio.</t>
  </si>
  <si>
    <t>3 .</t>
  </si>
  <si>
    <t>Operating expenses will increase annually by 5% to reflect inflation and business expansion costs.</t>
  </si>
  <si>
    <t>4 .</t>
  </si>
  <si>
    <t>The company will account for depreciation and amortisation at a rate of 5% of revenue each year.</t>
  </si>
  <si>
    <t>5 .</t>
  </si>
  <si>
    <t>The working capital investment required to support business growth will be 10% of the annual revenue increase.</t>
  </si>
  <si>
    <t>6 .</t>
  </si>
  <si>
    <t>The cost of debt financing is structured as follows:</t>
  </si>
  <si>
    <r>
      <t>·</t>
    </r>
    <r>
      <rPr>
        <sz val="12"/>
        <color rgb="FF000000"/>
        <rFont val="Times New Roman"/>
        <family val="1"/>
      </rPr>
      <t xml:space="preserve">    Senior debt interest rate: 12.5% per annum.</t>
    </r>
  </si>
  <si>
    <r>
      <t>·</t>
    </r>
    <r>
      <rPr>
        <sz val="12"/>
        <color rgb="FF000000"/>
        <rFont val="Times New Roman"/>
        <family val="1"/>
      </rPr>
      <t xml:space="preserve">    Mezzanine debt interest rate: 17.5% per annum.</t>
    </r>
  </si>
  <si>
    <t>7 .</t>
  </si>
  <si>
    <t>No dividend distributions or additional equity issuances are planned during the projection period.</t>
  </si>
  <si>
    <t>Working capital assumptions:</t>
  </si>
  <si>
    <t xml:space="preserve">· </t>
  </si>
  <si>
    <t>Accounts receivable: 10% of revenue.</t>
  </si>
  <si>
    <t>Inventory: 10% of COGS.</t>
  </si>
  <si>
    <t>Accounts payable: 20% of COGS.</t>
  </si>
  <si>
    <t xml:space="preserve">Prepare a detailed five-year statement of profit or loss incorporating all relevant financial entries based on the provided assumptions. Ensure that revenue growth, cost </t>
  </si>
  <si>
    <t xml:space="preserve">structures, operating expenses, interest expenses, taxes and net income are accurately accounted for. </t>
  </si>
  <si>
    <t>(10 marks)</t>
  </si>
  <si>
    <t>(b)</t>
  </si>
  <si>
    <t>Calculate the Free Cash Flow to Equity (FCFE) for each year using the projected financial statements, ensuring accurate adjustments and deductions.</t>
  </si>
  <si>
    <t xml:space="preserve">(c) </t>
  </si>
  <si>
    <t>Construct a structured private equity fund waterfall model illustrating how cash flows will be allocated between Limited Partners (LPs) and General Partners (GPs) after</t>
  </si>
  <si>
    <t xml:space="preserve">accounting for the preferred return of 8% annually. </t>
  </si>
  <si>
    <t xml:space="preserve">You are the financial analyst at Kiboko Manufacturing company that is considering investing in a new production </t>
  </si>
  <si>
    <t xml:space="preserve">line. </t>
  </si>
  <si>
    <t>The project details are as follows:</t>
  </si>
  <si>
    <t>Project Lifespan</t>
  </si>
  <si>
    <t>5 years</t>
  </si>
  <si>
    <t>Cost of Capital</t>
  </si>
  <si>
    <t>The expected cash flows for the production line are as follows:</t>
  </si>
  <si>
    <t>Cash flow (Sh."000")</t>
  </si>
  <si>
    <t>Additional Information</t>
  </si>
  <si>
    <t xml:space="preserve">1.    50% of the initial investment will be financed through a 5-year loan at an interest rate of 10% per annum. Loan </t>
  </si>
  <si>
    <t xml:space="preserve">       repayments will be made in equal annual installments at the end of each year.</t>
  </si>
  <si>
    <t>2.    The applicable tax rate is 30%.</t>
  </si>
  <si>
    <t>3.    The production line will be depreciated on a straight-line basis over its useful life.</t>
  </si>
  <si>
    <t>(a)      Calculate the annual loan repayment amount that would clear the loan in  term.</t>
  </si>
  <si>
    <t>(b)     Create a loan amortisation schedule, breaking down each year's repayment into interest and principal components.</t>
  </si>
  <si>
    <t>(c)     Calculate the annual depreciation charge and depreciation tax shield from depreciation.</t>
  </si>
  <si>
    <t xml:space="preserve">         </t>
  </si>
  <si>
    <t>(e)     Determine the Project’s Internal Rate of Return (IRR).</t>
  </si>
  <si>
    <t>(f)     Analyse the net present value (NPV) sensitivity to the following changes:</t>
  </si>
  <si>
    <t xml:space="preserve">        (i)    The discount rate increases to 12%.</t>
  </si>
  <si>
    <t xml:space="preserve">        (ii)    The Year 3 cash flow decreases by 20%.</t>
  </si>
  <si>
    <t>LOAN AMORTIZATION SCHEDULE</t>
  </si>
  <si>
    <t>TIME VALUE OF MONEY</t>
  </si>
  <si>
    <t>CAPITAL BUDGETING</t>
  </si>
  <si>
    <t>PVIF   PVIFA</t>
  </si>
  <si>
    <t>NPV</t>
  </si>
  <si>
    <t>IRR</t>
  </si>
  <si>
    <t>PBP</t>
  </si>
  <si>
    <t>PI</t>
  </si>
  <si>
    <t>XNPV</t>
  </si>
  <si>
    <t>XIRR</t>
  </si>
  <si>
    <t>SENSITIVITY AND SCENARIO ANALYSIS</t>
  </si>
  <si>
    <t>DATA TABLE</t>
  </si>
  <si>
    <t>SCENARION MANAGER</t>
  </si>
  <si>
    <t>GOAL SEEK</t>
  </si>
  <si>
    <t>Cashflows</t>
  </si>
  <si>
    <t>Discounting rate</t>
  </si>
  <si>
    <t>n</t>
  </si>
  <si>
    <r>
      <t>PVIF= (1+r)</t>
    </r>
    <r>
      <rPr>
        <b/>
        <vertAlign val="superscript"/>
        <sz val="20"/>
        <color theme="1"/>
        <rFont val="Calibri"/>
        <family val="2"/>
        <scheme val="minor"/>
      </rPr>
      <t>-n</t>
    </r>
  </si>
  <si>
    <t>Discounting factor</t>
  </si>
  <si>
    <t>Discounted cashflows</t>
  </si>
  <si>
    <t>PV of discounted cashflows</t>
  </si>
  <si>
    <t>NPV=total discounted cashflows-Initial outlay</t>
  </si>
  <si>
    <t>Initial Outlay</t>
  </si>
  <si>
    <t>Viable</t>
  </si>
  <si>
    <t>discounting    x%</t>
  </si>
  <si>
    <t>goal seek</t>
  </si>
  <si>
    <t>IRR function</t>
  </si>
  <si>
    <t>graph</t>
  </si>
  <si>
    <t>The discount rate is given as</t>
  </si>
  <si>
    <t>DPBP</t>
  </si>
  <si>
    <t>SCENARIO MANAGER</t>
  </si>
  <si>
    <t>Cost of investment</t>
  </si>
  <si>
    <t>discount rate</t>
  </si>
  <si>
    <t>Starting cashflow in Y1</t>
  </si>
  <si>
    <t>Growth rate</t>
  </si>
  <si>
    <t>years</t>
  </si>
  <si>
    <t>BASE</t>
  </si>
  <si>
    <t>$L$5</t>
  </si>
  <si>
    <t>$L$6</t>
  </si>
  <si>
    <t>$L$7</t>
  </si>
  <si>
    <t>$L$8</t>
  </si>
  <si>
    <t>$L$24</t>
  </si>
  <si>
    <t>Base</t>
  </si>
  <si>
    <t>Created by ADMIN on 28/10/2025</t>
  </si>
  <si>
    <t>SC1 10%</t>
  </si>
  <si>
    <t>SC 11%</t>
  </si>
  <si>
    <t>Created by ADMIN on 28/10/2025
Modified by ADMIN on 28/10/2025</t>
  </si>
  <si>
    <t>SC 13%</t>
  </si>
  <si>
    <t>SC 14%</t>
  </si>
  <si>
    <t>SC 15%</t>
  </si>
  <si>
    <t>SC 12%</t>
  </si>
  <si>
    <t>Scenario Summary</t>
  </si>
  <si>
    <t>Changing Cells:</t>
  </si>
  <si>
    <t>Current Values:</t>
  </si>
  <si>
    <t>Result Cells:</t>
  </si>
  <si>
    <t>Notes:  Current Values column represents values of changing cells at</t>
  </si>
  <si>
    <t>time Scenario Summary Report was created.  Changing cells for each</t>
  </si>
  <si>
    <t>scenario are highlighted in gray.</t>
  </si>
  <si>
    <t>SC10%</t>
  </si>
  <si>
    <t>SC12%</t>
  </si>
  <si>
    <t>SC14%</t>
  </si>
  <si>
    <t>Details</t>
  </si>
  <si>
    <t>PAST PAPER QUESTION AND ANSWERS</t>
  </si>
  <si>
    <t>BLOCK REVISION ONLY</t>
  </si>
  <si>
    <t>BLOCK REVISION AND LIVE SESSIONS</t>
  </si>
  <si>
    <t>PAYBILL 6242839</t>
  </si>
  <si>
    <t>A/C BDA BLOCK</t>
  </si>
  <si>
    <t>0719525000  / 0793555000  / 0703780000</t>
  </si>
  <si>
    <t>INITIAL OUTLAY</t>
  </si>
  <si>
    <t>Accumulated cashflows</t>
  </si>
  <si>
    <t>Yrs</t>
  </si>
  <si>
    <t>PROFITABILITY INDEXT(PI)= total PV of net cash flows/Initial outlay</t>
  </si>
  <si>
    <t>total PV of net cash flows</t>
  </si>
  <si>
    <t>PI&gt;=1</t>
  </si>
  <si>
    <t>Not viable</t>
  </si>
  <si>
    <t>cost of investement</t>
  </si>
  <si>
    <t>Proceeds on disposal</t>
  </si>
  <si>
    <t>Expected sales</t>
  </si>
  <si>
    <t>Working capital</t>
  </si>
  <si>
    <t>Revenue</t>
  </si>
  <si>
    <t>EBITDA</t>
  </si>
  <si>
    <t>Less depreciation</t>
  </si>
  <si>
    <t>PBT</t>
  </si>
  <si>
    <t>tax expense</t>
  </si>
  <si>
    <t>PAT</t>
  </si>
  <si>
    <t>Add depreciation</t>
  </si>
  <si>
    <t>Bal b/d</t>
  </si>
  <si>
    <t>Additions</t>
  </si>
  <si>
    <t>Total balance</t>
  </si>
  <si>
    <t>Depreciation</t>
  </si>
  <si>
    <t>Bal c/d  (NBV)</t>
  </si>
  <si>
    <t>Depreciation tax shield=Depreciation*Tax rate</t>
  </si>
  <si>
    <t>Depreciation tax shield(DTS)</t>
  </si>
  <si>
    <t>Tax expense</t>
  </si>
  <si>
    <t>Add DTS</t>
  </si>
  <si>
    <t>M2</t>
  </si>
  <si>
    <t>Proceeds on disposal of Machinery</t>
  </si>
  <si>
    <t>NBV or carrying amount</t>
  </si>
  <si>
    <t>Capital loss</t>
  </si>
  <si>
    <t>Tax credit</t>
  </si>
  <si>
    <t>Machinery</t>
  </si>
  <si>
    <t>Net cashflows</t>
  </si>
  <si>
    <t>WACC</t>
  </si>
  <si>
    <t>(1+n)=(1+r)(1+i)</t>
  </si>
  <si>
    <t>(1+n)=(1+8%)(1+4%)</t>
  </si>
  <si>
    <t>1+n</t>
  </si>
  <si>
    <t>increase in NOMINAL WACC</t>
  </si>
  <si>
    <t>FINAL WACC</t>
  </si>
  <si>
    <t>PI&lt;1</t>
  </si>
  <si>
    <t>year</t>
  </si>
  <si>
    <t>cummulative cashflows</t>
  </si>
  <si>
    <t>yrs</t>
  </si>
  <si>
    <t>PVIF</t>
  </si>
  <si>
    <t>Discounted casflows</t>
  </si>
  <si>
    <t>Infinite</t>
  </si>
  <si>
    <t>Useful life</t>
  </si>
  <si>
    <t>Fixed costs</t>
  </si>
  <si>
    <t>Regular cashflows</t>
  </si>
  <si>
    <t>Irregular cashflows</t>
  </si>
  <si>
    <t>Initial capital cost +5%</t>
  </si>
  <si>
    <t>Residual value -5%</t>
  </si>
  <si>
    <t>Selling price per unit -5%</t>
  </si>
  <si>
    <t>Variable cost per unit +5%</t>
  </si>
  <si>
    <t>Fixed costs per year +5%</t>
  </si>
  <si>
    <t>Initial_capital_cost</t>
  </si>
  <si>
    <t>Residual_value</t>
  </si>
  <si>
    <t>Selling_price_per_unit</t>
  </si>
  <si>
    <t>Variable_cost_per_unit</t>
  </si>
  <si>
    <t>Fixed_costs_per_year</t>
  </si>
  <si>
    <t>Created by ADMIN on 29/10/2025</t>
  </si>
  <si>
    <t>Fixed cost per year +5%</t>
  </si>
  <si>
    <t>Annual number of units sold</t>
  </si>
  <si>
    <t>Variable costs</t>
  </si>
  <si>
    <t>Contribution Margin</t>
  </si>
  <si>
    <t>operating cashflows</t>
  </si>
  <si>
    <t>Residual value</t>
  </si>
  <si>
    <t>Initial capital investment</t>
  </si>
  <si>
    <t>DETAILS</t>
  </si>
  <si>
    <t>PV of the regular cashflows  PV</t>
  </si>
  <si>
    <t>PV of the Irregular cashflows NPV</t>
  </si>
  <si>
    <t>Total PV of the cashflows</t>
  </si>
  <si>
    <t>Initial capital cost   +5%</t>
  </si>
  <si>
    <t xml:space="preserve">Residual value -5% </t>
  </si>
  <si>
    <t>Annual number of units sold -5%</t>
  </si>
  <si>
    <t>Annual_number_of_units_sold</t>
  </si>
  <si>
    <t>Created by ADMIN on 29/10/2025
Modified by ADMIN on 29/10/2025</t>
  </si>
  <si>
    <t>CELL REFERNCING</t>
  </si>
  <si>
    <t>Loan</t>
  </si>
  <si>
    <t>Repayment time</t>
  </si>
  <si>
    <t>Frequency</t>
  </si>
  <si>
    <t>end of each period/arrears</t>
  </si>
  <si>
    <t>Annually</t>
  </si>
  <si>
    <t>m</t>
  </si>
  <si>
    <t>Semi-annually</t>
  </si>
  <si>
    <t>Quarterly</t>
  </si>
  <si>
    <t>Weekly</t>
  </si>
  <si>
    <t>Daily</t>
  </si>
  <si>
    <t>Annual interest rate r</t>
  </si>
  <si>
    <t>years  n</t>
  </si>
  <si>
    <t>Adjusted interest rate r/m</t>
  </si>
  <si>
    <t>Adjusted repayment period  n*m</t>
  </si>
  <si>
    <t>IPMT</t>
  </si>
  <si>
    <t>PPMT</t>
  </si>
  <si>
    <t xml:space="preserve">LOAN AMORTIZATION </t>
  </si>
  <si>
    <t>end of each period</t>
  </si>
  <si>
    <r>
      <t>Annual interest rate</t>
    </r>
    <r>
      <rPr>
        <b/>
        <sz val="11"/>
        <color rgb="FFFF0000"/>
        <rFont val="Calibri"/>
        <family val="2"/>
        <scheme val="minor"/>
      </rPr>
      <t xml:space="preserve"> r</t>
    </r>
  </si>
  <si>
    <r>
      <t xml:space="preserve">Years    </t>
    </r>
    <r>
      <rPr>
        <sz val="11"/>
        <color rgb="FFFF0000"/>
        <rFont val="Calibri"/>
        <family val="2"/>
        <scheme val="minor"/>
      </rPr>
      <t>n</t>
    </r>
  </si>
  <si>
    <t>Adjusted Interest rate   [r/m]</t>
  </si>
  <si>
    <t>Adjusted period    [n*m]</t>
  </si>
  <si>
    <t>Instalment  PMT</t>
  </si>
  <si>
    <t>period</t>
  </si>
  <si>
    <t>Bal c/d</t>
  </si>
  <si>
    <t>Instalment=interest + principal</t>
  </si>
  <si>
    <t>Instalment(PMT)</t>
  </si>
  <si>
    <t>Interest (IPMT)</t>
  </si>
  <si>
    <t>Principal(PPMT)</t>
  </si>
  <si>
    <t>Installment  PMT</t>
  </si>
  <si>
    <t>Period</t>
  </si>
  <si>
    <t>INSTALMENT=PRINCIPAL +INTEREST</t>
  </si>
  <si>
    <t>PRINCIPAL=INSTALMENT-INTEREST</t>
  </si>
  <si>
    <t>monthly</t>
  </si>
  <si>
    <t>Instalment PMT</t>
  </si>
  <si>
    <t>Interest IPMT</t>
  </si>
  <si>
    <t>Principal PPMT</t>
  </si>
  <si>
    <t>Adjusted interest rate</t>
  </si>
  <si>
    <t>Adjusted period</t>
  </si>
  <si>
    <t>PMT</t>
  </si>
  <si>
    <t>r/m</t>
  </si>
  <si>
    <t>n*m</t>
  </si>
  <si>
    <t>bal b/d</t>
  </si>
  <si>
    <t>loan/pvifa</t>
  </si>
  <si>
    <t>E</t>
  </si>
  <si>
    <t>additional repayment</t>
  </si>
  <si>
    <t>additional loan</t>
  </si>
  <si>
    <t>total opening bal</t>
  </si>
  <si>
    <t>Initial loan amount: Sh.</t>
  </si>
  <si>
    <t>Rate of interest:  per annum.</t>
  </si>
  <si>
    <t xml:space="preserve">Period:  years </t>
  </si>
  <si>
    <t>payable monthly in arrears.</t>
  </si>
  <si>
    <t>Additional loan</t>
  </si>
  <si>
    <t>Total Open bal</t>
  </si>
  <si>
    <t>Additional repayment</t>
  </si>
  <si>
    <t>Instalment PPMT</t>
  </si>
  <si>
    <t>Bal  b/d</t>
  </si>
  <si>
    <t>interest rate</t>
  </si>
  <si>
    <t>loan</t>
  </si>
  <si>
    <t>Interest rate</t>
  </si>
  <si>
    <r>
      <t xml:space="preserve">to fully pay the loan balance in </t>
    </r>
    <r>
      <rPr>
        <sz val="16"/>
        <color rgb="FFFF0000"/>
        <rFont val="Times New Roman"/>
        <family val="1"/>
      </rPr>
      <t>the period that had initially been agreed upon.</t>
    </r>
  </si>
  <si>
    <t>Repaid annually in advance</t>
  </si>
  <si>
    <t>Instalment</t>
  </si>
  <si>
    <t>Interest</t>
  </si>
  <si>
    <t>Principal</t>
  </si>
  <si>
    <t>Repaid annually in arrears</t>
  </si>
  <si>
    <t>WEDNESDAY &amp; THURSDAY</t>
  </si>
  <si>
    <t xml:space="preserve"> TAX &amp; AUDIT</t>
  </si>
  <si>
    <t>MONDAY &amp; TUESDAY</t>
  </si>
  <si>
    <t xml:space="preserve">MA </t>
  </si>
  <si>
    <t>AUDIT SCHEDULE</t>
  </si>
  <si>
    <t>EXCEL FUNCTIONS</t>
  </si>
  <si>
    <t>XLOOKUP</t>
  </si>
  <si>
    <t>VLOOKUP</t>
  </si>
  <si>
    <t>INDEX AND MATCH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</si>
</sst>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000%"/>
    <numFmt numFmtId="167" formatCode="_-* #,##0_-;\-* #,##0_-;_-* &quot;-&quot;??_-;_-@_-"/>
    <numFmt numFmtId="168" formatCode="&quot;Ksh&quot;#,##0.00_);[Red]\(&quot;Ksh&quot;#,##0.00\)"/>
    <numFmt numFmtId="169" formatCode="0.0000"/>
    <numFmt numFmtId="170" formatCode="0.0"/>
    <numFmt numFmtId="171" formatCode="0.00000%"/>
    <numFmt numFmtId="172" formatCode="_(* #,##0.0000_);_(* \(#,##0.0000\);_(* &quot;-&quot;??_);_(@_)"/>
    <numFmt numFmtId="173" formatCode="0.00000"/>
    <numFmt numFmtId="174" formatCode="0.000"/>
    <numFmt numFmtId="175" formatCode="0.000000%"/>
    <numFmt numFmtId="176" formatCode="_(* #,##0.000_);_(* \(#,##0.000\);_(* &quot;-&quot;??_);_(@_)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6"/>
      <color theme="1"/>
      <name val="Times New Roman"/>
      <family val="1"/>
    </font>
    <font>
      <sz val="16"/>
      <color theme="1"/>
      <name val="Calibri"/>
      <family val="2"/>
      <scheme val="minor"/>
    </font>
    <font>
      <sz val="16"/>
      <color theme="1"/>
      <name val="Times New Roman"/>
      <family val="1"/>
    </font>
    <font>
      <b/>
      <sz val="16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sz val="12"/>
      <color rgb="FF231F20"/>
      <name val="Times New Roman"/>
      <family val="1"/>
    </font>
    <font>
      <b/>
      <sz val="12"/>
      <color rgb="FF231F20"/>
      <name val="Times New Roman"/>
      <family val="1"/>
    </font>
    <font>
      <b/>
      <sz val="10"/>
      <color rgb="FF000000"/>
      <name val="Times New Roman"/>
      <family val="1"/>
    </font>
    <font>
      <b/>
      <sz val="10"/>
      <color rgb="FFC0000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rgb="FF000000"/>
      <name val="Calibri"/>
      <family val="2"/>
      <scheme val="minor"/>
    </font>
    <font>
      <sz val="10"/>
      <color rgb="FF231F2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Goudy Old Style"/>
      <family val="1"/>
    </font>
    <font>
      <b/>
      <sz val="12"/>
      <name val="Times New Roman"/>
      <family val="1"/>
    </font>
    <font>
      <vertAlign val="superscript"/>
      <sz val="16"/>
      <color theme="1"/>
      <name val="Times New Roman"/>
      <family val="1"/>
    </font>
    <font>
      <b/>
      <sz val="16"/>
      <color rgb="FF000000"/>
      <name val="Times New Roman"/>
      <family val="1"/>
    </font>
    <font>
      <sz val="11"/>
      <color rgb="FF000000"/>
      <name val="Times New Roman"/>
      <family val="1"/>
    </font>
    <font>
      <b/>
      <sz val="14"/>
      <color rgb="FF000000"/>
      <name val="Times New Roman"/>
      <family val="1"/>
    </font>
    <font>
      <sz val="16"/>
      <color rgb="FF000000"/>
      <name val="Times New Roman"/>
      <family val="1"/>
    </font>
    <font>
      <sz val="14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rgb="FF000000"/>
      <name val="Times New Roman"/>
      <family val="1"/>
      <charset val="2"/>
    </font>
    <font>
      <sz val="12"/>
      <color rgb="FF000000"/>
      <name val="Symbol"/>
      <family val="1"/>
      <charset val="2"/>
    </font>
    <font>
      <sz val="10"/>
      <color rgb="FF000000"/>
      <name val="Times New Roman"/>
      <family val="1"/>
    </font>
    <font>
      <sz val="12"/>
      <name val="Times New Roman"/>
      <family val="1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vertAlign val="superscript"/>
      <sz val="20"/>
      <color theme="1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18"/>
      <name val="Calibri"/>
      <family val="2"/>
      <scheme val="minor"/>
    </font>
    <font>
      <sz val="10"/>
      <color indexed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0"/>
      <name val="Times New Roman"/>
      <family val="1"/>
    </font>
    <font>
      <b/>
      <sz val="11"/>
      <color theme="1"/>
      <name val="Times New Roman"/>
      <family val="1"/>
    </font>
    <font>
      <sz val="11"/>
      <color theme="0"/>
      <name val="Calibri"/>
      <family val="2"/>
      <scheme val="minor"/>
    </font>
    <font>
      <sz val="16"/>
      <color rgb="FFFF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2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vertical="center"/>
    </xf>
    <xf numFmtId="3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49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5" fillId="0" borderId="0" xfId="0" applyFont="1"/>
    <xf numFmtId="0" fontId="6" fillId="0" borderId="0" xfId="0" applyFont="1"/>
    <xf numFmtId="0" fontId="7" fillId="0" borderId="0" xfId="0" applyFont="1"/>
    <xf numFmtId="49" fontId="7" fillId="0" borderId="0" xfId="0" applyNumberFormat="1" applyFont="1"/>
    <xf numFmtId="0" fontId="8" fillId="0" borderId="0" xfId="0" applyFont="1"/>
    <xf numFmtId="0" fontId="7" fillId="0" borderId="0" xfId="0" applyFont="1" applyAlignment="1">
      <alignment vertical="top" wrapText="1"/>
    </xf>
    <xf numFmtId="2" fontId="7" fillId="0" borderId="0" xfId="0" applyNumberFormat="1" applyFont="1"/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justify" vertical="center"/>
    </xf>
    <xf numFmtId="0" fontId="10" fillId="0" borderId="0" xfId="0" applyFont="1" applyAlignment="1">
      <alignment horizontal="center" vertical="center"/>
    </xf>
    <xf numFmtId="9" fontId="2" fillId="0" borderId="0" xfId="0" applyNumberFormat="1" applyFont="1"/>
    <xf numFmtId="0" fontId="2" fillId="0" borderId="0" xfId="0" applyFont="1" applyAlignment="1">
      <alignment vertical="center" wrapText="1"/>
    </xf>
    <xf numFmtId="9" fontId="2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164" fontId="2" fillId="0" borderId="0" xfId="1" applyFont="1"/>
    <xf numFmtId="0" fontId="4" fillId="0" borderId="0" xfId="0" applyFont="1" applyAlignment="1">
      <alignment horizontal="left"/>
    </xf>
    <xf numFmtId="0" fontId="1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5" fillId="0" borderId="0" xfId="0" applyFont="1"/>
    <xf numFmtId="0" fontId="14" fillId="0" borderId="0" xfId="0" applyFont="1"/>
    <xf numFmtId="0" fontId="14" fillId="0" borderId="0" xfId="0" applyFont="1" applyAlignment="1">
      <alignment horizontal="justify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justify" vertical="center"/>
    </xf>
    <xf numFmtId="3" fontId="15" fillId="0" borderId="0" xfId="0" applyNumberFormat="1" applyFont="1" applyAlignment="1">
      <alignment horizontal="justify" vertical="center"/>
    </xf>
    <xf numFmtId="9" fontId="15" fillId="0" borderId="0" xfId="0" applyNumberFormat="1" applyFont="1" applyAlignment="1">
      <alignment horizontal="justify" vertical="center"/>
    </xf>
    <xf numFmtId="166" fontId="0" fillId="0" borderId="0" xfId="0" applyNumberFormat="1"/>
    <xf numFmtId="0" fontId="1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4" fillId="0" borderId="0" xfId="0" applyFont="1" applyAlignment="1">
      <alignment horizontal="right"/>
    </xf>
    <xf numFmtId="0" fontId="16" fillId="0" borderId="0" xfId="0" applyFont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14" fontId="0" fillId="0" borderId="0" xfId="0" applyNumberFormat="1"/>
    <xf numFmtId="0" fontId="19" fillId="0" borderId="0" xfId="0" applyFont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center"/>
    </xf>
    <xf numFmtId="164" fontId="2" fillId="2" borderId="0" xfId="1" applyFont="1" applyFill="1" applyBorder="1"/>
    <xf numFmtId="9" fontId="2" fillId="2" borderId="0" xfId="0" applyNumberFormat="1" applyFont="1" applyFill="1" applyAlignment="1">
      <alignment horizontal="center"/>
    </xf>
    <xf numFmtId="49" fontId="2" fillId="2" borderId="0" xfId="0" applyNumberFormat="1" applyFont="1" applyFill="1" applyAlignment="1">
      <alignment horizontal="center"/>
    </xf>
    <xf numFmtId="49" fontId="2" fillId="2" borderId="0" xfId="0" applyNumberFormat="1" applyFont="1" applyFill="1"/>
    <xf numFmtId="0" fontId="2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7" fontId="2" fillId="0" borderId="0" xfId="1" applyNumberFormat="1" applyFont="1"/>
    <xf numFmtId="0" fontId="4" fillId="0" borderId="0" xfId="0" applyFont="1" applyAlignment="1">
      <alignment horizontal="left" vertical="center"/>
    </xf>
    <xf numFmtId="9" fontId="2" fillId="0" borderId="0" xfId="0" applyNumberFormat="1" applyFont="1" applyAlignment="1">
      <alignment horizontal="right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right" vertical="center"/>
    </xf>
    <xf numFmtId="0" fontId="4" fillId="2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3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9" fontId="2" fillId="0" borderId="0" xfId="0" applyNumberFormat="1" applyFont="1" applyAlignment="1">
      <alignment horizontal="center"/>
    </xf>
    <xf numFmtId="168" fontId="2" fillId="0" borderId="0" xfId="0" applyNumberFormat="1" applyFont="1"/>
    <xf numFmtId="0" fontId="2" fillId="0" borderId="5" xfId="0" applyFont="1" applyBorder="1"/>
    <xf numFmtId="0" fontId="4" fillId="0" borderId="5" xfId="0" applyFont="1" applyBorder="1"/>
    <xf numFmtId="0" fontId="4" fillId="0" borderId="5" xfId="0" applyFont="1" applyBorder="1" applyAlignment="1">
      <alignment horizontal="center"/>
    </xf>
    <xf numFmtId="3" fontId="2" fillId="0" borderId="5" xfId="0" applyNumberFormat="1" applyFont="1" applyBorder="1"/>
    <xf numFmtId="9" fontId="2" fillId="0" borderId="5" xfId="0" applyNumberFormat="1" applyFont="1" applyBorder="1"/>
    <xf numFmtId="0" fontId="20" fillId="0" borderId="0" xfId="0" applyFont="1" applyAlignment="1">
      <alignment horizontal="center"/>
    </xf>
    <xf numFmtId="165" fontId="2" fillId="0" borderId="0" xfId="1" applyNumberFormat="1" applyFont="1" applyFill="1" applyBorder="1"/>
    <xf numFmtId="38" fontId="2" fillId="0" borderId="0" xfId="0" applyNumberFormat="1" applyFont="1"/>
    <xf numFmtId="167" fontId="2" fillId="0" borderId="0" xfId="1" applyNumberFormat="1" applyFont="1" applyAlignment="1">
      <alignment horizontal="right"/>
    </xf>
    <xf numFmtId="167" fontId="3" fillId="0" borderId="0" xfId="1" applyNumberFormat="1" applyFont="1"/>
    <xf numFmtId="0" fontId="10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165" fontId="0" fillId="0" borderId="0" xfId="1" applyNumberFormat="1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2" fillId="0" borderId="0" xfId="0" applyFont="1"/>
    <xf numFmtId="0" fontId="27" fillId="0" borderId="0" xfId="0" applyFont="1" applyAlignment="1">
      <alignment vertical="center"/>
    </xf>
    <xf numFmtId="0" fontId="27" fillId="0" borderId="0" xfId="0" applyFont="1"/>
    <xf numFmtId="0" fontId="29" fillId="0" borderId="0" xfId="0" applyFont="1"/>
    <xf numFmtId="0" fontId="28" fillId="0" borderId="0" xfId="0" applyFont="1"/>
    <xf numFmtId="0" fontId="30" fillId="0" borderId="0" xfId="0" applyFont="1" applyAlignment="1">
      <alignment horizontal="left" vertical="center" indent="4"/>
    </xf>
    <xf numFmtId="0" fontId="27" fillId="0" borderId="0" xfId="0" applyFont="1" applyAlignment="1">
      <alignment horizontal="left" vertical="top"/>
    </xf>
    <xf numFmtId="0" fontId="27" fillId="0" borderId="0" xfId="0" applyFont="1" applyAlignment="1">
      <alignment horizontal="left" vertical="center" indent="1"/>
    </xf>
    <xf numFmtId="0" fontId="29" fillId="0" borderId="0" xfId="0" applyFont="1" applyAlignment="1">
      <alignment vertical="center"/>
    </xf>
    <xf numFmtId="0" fontId="9" fillId="0" borderId="0" xfId="0" applyFont="1"/>
    <xf numFmtId="0" fontId="27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22" fillId="0" borderId="0" xfId="0" applyFont="1" applyAlignment="1"/>
    <xf numFmtId="0" fontId="4" fillId="0" borderId="0" xfId="0" applyFont="1" applyAlignment="1">
      <alignment horizontal="right"/>
    </xf>
    <xf numFmtId="0" fontId="27" fillId="0" borderId="0" xfId="2" applyFont="1"/>
    <xf numFmtId="0" fontId="2" fillId="0" borderId="0" xfId="2" applyFont="1"/>
    <xf numFmtId="0" fontId="4" fillId="0" borderId="0" xfId="2" applyFont="1"/>
    <xf numFmtId="0" fontId="3" fillId="0" borderId="0" xfId="2" applyFont="1"/>
    <xf numFmtId="0" fontId="9" fillId="0" borderId="0" xfId="2" applyFont="1"/>
    <xf numFmtId="9" fontId="2" fillId="0" borderId="0" xfId="2" applyNumberFormat="1" applyFont="1" applyAlignment="1">
      <alignment horizontal="left" vertical="top"/>
    </xf>
    <xf numFmtId="0" fontId="9" fillId="0" borderId="0" xfId="2" applyFont="1" applyAlignment="1">
      <alignment horizontal="center"/>
    </xf>
    <xf numFmtId="0" fontId="27" fillId="0" borderId="0" xfId="2" applyFont="1" applyAlignment="1">
      <alignment horizontal="center"/>
    </xf>
    <xf numFmtId="3" fontId="2" fillId="0" borderId="0" xfId="2" applyNumberFormat="1" applyFont="1" applyAlignment="1">
      <alignment horizontal="center"/>
    </xf>
    <xf numFmtId="0" fontId="2" fillId="0" borderId="0" xfId="2" applyFont="1" applyAlignment="1">
      <alignment horizontal="right"/>
    </xf>
    <xf numFmtId="0" fontId="4" fillId="0" borderId="0" xfId="2" applyFont="1" applyAlignment="1">
      <alignment horizontal="right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right" vertical="center"/>
    </xf>
    <xf numFmtId="167" fontId="2" fillId="0" borderId="0" xfId="1" applyNumberFormat="1" applyFont="1" applyAlignment="1"/>
    <xf numFmtId="9" fontId="2" fillId="0" borderId="0" xfId="2" applyNumberFormat="1" applyFont="1"/>
    <xf numFmtId="165" fontId="3" fillId="0" borderId="0" xfId="1" applyNumberFormat="1" applyFont="1"/>
    <xf numFmtId="0" fontId="31" fillId="0" borderId="0" xfId="0" applyFont="1"/>
    <xf numFmtId="0" fontId="32" fillId="0" borderId="0" xfId="0" applyFont="1"/>
    <xf numFmtId="0" fontId="31" fillId="0" borderId="0" xfId="2" applyFont="1" applyAlignment="1">
      <alignment horizontal="right"/>
    </xf>
    <xf numFmtId="0" fontId="20" fillId="0" borderId="0" xfId="2" applyFont="1" applyAlignment="1">
      <alignment horizontal="right"/>
    </xf>
    <xf numFmtId="9" fontId="0" fillId="0" borderId="0" xfId="0" applyNumberFormat="1"/>
    <xf numFmtId="0" fontId="34" fillId="0" borderId="0" xfId="0" applyFont="1"/>
    <xf numFmtId="169" fontId="0" fillId="0" borderId="0" xfId="0" applyNumberFormat="1"/>
    <xf numFmtId="165" fontId="0" fillId="0" borderId="0" xfId="0" applyNumberFormat="1"/>
    <xf numFmtId="165" fontId="33" fillId="0" borderId="0" xfId="1" applyNumberFormat="1" applyFont="1"/>
    <xf numFmtId="167" fontId="0" fillId="0" borderId="0" xfId="0" applyNumberFormat="1"/>
    <xf numFmtId="170" fontId="0" fillId="0" borderId="0" xfId="0" applyNumberFormat="1"/>
    <xf numFmtId="171" fontId="0" fillId="0" borderId="0" xfId="3" applyNumberFormat="1" applyFont="1"/>
    <xf numFmtId="171" fontId="0" fillId="0" borderId="0" xfId="0" applyNumberFormat="1"/>
    <xf numFmtId="43" fontId="0" fillId="0" borderId="0" xfId="0" quotePrefix="1" applyNumberFormat="1"/>
    <xf numFmtId="165" fontId="2" fillId="0" borderId="0" xfId="1" applyNumberFormat="1" applyFont="1"/>
    <xf numFmtId="165" fontId="2" fillId="3" borderId="0" xfId="1" applyNumberFormat="1" applyFont="1" applyFill="1"/>
    <xf numFmtId="165" fontId="2" fillId="0" borderId="0" xfId="0" applyNumberFormat="1" applyFont="1"/>
    <xf numFmtId="0" fontId="0" fillId="0" borderId="0" xfId="0" applyFill="1" applyBorder="1" applyAlignment="1"/>
    <xf numFmtId="165" fontId="0" fillId="0" borderId="0" xfId="0" applyNumberFormat="1" applyFill="1" applyBorder="1" applyAlignment="1"/>
    <xf numFmtId="9" fontId="0" fillId="0" borderId="0" xfId="0" applyNumberFormat="1" applyFill="1" applyBorder="1" applyAlignment="1"/>
    <xf numFmtId="165" fontId="0" fillId="0" borderId="7" xfId="0" applyNumberFormat="1" applyFill="1" applyBorder="1" applyAlignment="1"/>
    <xf numFmtId="0" fontId="36" fillId="4" borderId="8" xfId="0" applyFont="1" applyFill="1" applyBorder="1" applyAlignment="1">
      <alignment horizontal="left"/>
    </xf>
    <xf numFmtId="0" fontId="36" fillId="4" borderId="6" xfId="0" applyFont="1" applyFill="1" applyBorder="1" applyAlignment="1">
      <alignment horizontal="left"/>
    </xf>
    <xf numFmtId="0" fontId="0" fillId="0" borderId="9" xfId="0" applyFill="1" applyBorder="1" applyAlignment="1"/>
    <xf numFmtId="0" fontId="37" fillId="5" borderId="0" xfId="0" applyFont="1" applyFill="1" applyBorder="1" applyAlignment="1">
      <alignment horizontal="left"/>
    </xf>
    <xf numFmtId="0" fontId="38" fillId="5" borderId="9" xfId="0" applyFont="1" applyFill="1" applyBorder="1" applyAlignment="1">
      <alignment horizontal="left"/>
    </xf>
    <xf numFmtId="0" fontId="37" fillId="5" borderId="7" xfId="0" applyFont="1" applyFill="1" applyBorder="1" applyAlignment="1">
      <alignment horizontal="left"/>
    </xf>
    <xf numFmtId="0" fontId="39" fillId="4" borderId="6" xfId="0" applyFont="1" applyFill="1" applyBorder="1" applyAlignment="1">
      <alignment horizontal="right"/>
    </xf>
    <xf numFmtId="0" fontId="39" fillId="4" borderId="8" xfId="0" applyFont="1" applyFill="1" applyBorder="1" applyAlignment="1">
      <alignment horizontal="right"/>
    </xf>
    <xf numFmtId="165" fontId="0" fillId="6" borderId="0" xfId="0" applyNumberFormat="1" applyFill="1" applyBorder="1" applyAlignment="1"/>
    <xf numFmtId="9" fontId="0" fillId="6" borderId="0" xfId="0" applyNumberFormat="1" applyFill="1" applyBorder="1" applyAlignment="1"/>
    <xf numFmtId="0" fontId="40" fillId="0" borderId="0" xfId="0" applyFont="1" applyFill="1" applyBorder="1" applyAlignment="1">
      <alignment vertical="top" wrapText="1"/>
    </xf>
    <xf numFmtId="0" fontId="33" fillId="0" borderId="0" xfId="0" applyFont="1"/>
    <xf numFmtId="173" fontId="0" fillId="0" borderId="0" xfId="0" applyNumberFormat="1"/>
    <xf numFmtId="174" fontId="0" fillId="0" borderId="0" xfId="0" applyNumberFormat="1"/>
    <xf numFmtId="165" fontId="41" fillId="0" borderId="0" xfId="1" applyNumberFormat="1" applyFont="1"/>
    <xf numFmtId="0" fontId="15" fillId="0" borderId="0" xfId="0" applyFont="1" applyAlignment="1">
      <alignment vertical="center"/>
    </xf>
    <xf numFmtId="165" fontId="15" fillId="0" borderId="0" xfId="1" applyNumberFormat="1" applyFont="1" applyAlignment="1">
      <alignment vertical="center"/>
    </xf>
    <xf numFmtId="165" fontId="0" fillId="0" borderId="0" xfId="1" quotePrefix="1" applyNumberFormat="1" applyFont="1"/>
    <xf numFmtId="43" fontId="0" fillId="0" borderId="0" xfId="0" applyNumberFormat="1"/>
    <xf numFmtId="10" fontId="0" fillId="0" borderId="0" xfId="0" applyNumberFormat="1"/>
    <xf numFmtId="0" fontId="42" fillId="0" borderId="0" xfId="0" applyFont="1"/>
    <xf numFmtId="173" fontId="42" fillId="0" borderId="0" xfId="0" applyNumberFormat="1" applyFont="1"/>
    <xf numFmtId="10" fontId="0" fillId="0" borderId="0" xfId="3" applyNumberFormat="1" applyFont="1"/>
    <xf numFmtId="172" fontId="0" fillId="0" borderId="0" xfId="0" applyNumberFormat="1"/>
    <xf numFmtId="167" fontId="33" fillId="0" borderId="0" xfId="0" applyNumberFormat="1" applyFont="1"/>
    <xf numFmtId="167" fontId="0" fillId="0" borderId="0" xfId="0" applyNumberFormat="1" applyFill="1" applyBorder="1" applyAlignment="1"/>
    <xf numFmtId="167" fontId="0" fillId="0" borderId="7" xfId="0" applyNumberFormat="1" applyFill="1" applyBorder="1" applyAlignment="1"/>
    <xf numFmtId="167" fontId="0" fillId="6" borderId="0" xfId="0" applyNumberFormat="1" applyFill="1" applyBorder="1" applyAlignment="1"/>
    <xf numFmtId="0" fontId="43" fillId="0" borderId="0" xfId="0" applyFont="1"/>
    <xf numFmtId="167" fontId="44" fillId="0" borderId="0" xfId="0" applyNumberFormat="1" applyFont="1"/>
    <xf numFmtId="9" fontId="3" fillId="0" borderId="0" xfId="0" applyNumberFormat="1" applyFont="1"/>
    <xf numFmtId="0" fontId="46" fillId="0" borderId="0" xfId="0" applyFont="1"/>
    <xf numFmtId="0" fontId="47" fillId="0" borderId="0" xfId="0" applyFont="1"/>
    <xf numFmtId="43" fontId="33" fillId="0" borderId="0" xfId="0" quotePrefix="1" applyNumberFormat="1" applyFont="1"/>
    <xf numFmtId="0" fontId="0" fillId="3" borderId="0" xfId="0" applyFill="1"/>
    <xf numFmtId="175" fontId="0" fillId="0" borderId="0" xfId="3" applyNumberFormat="1" applyFont="1"/>
    <xf numFmtId="0" fontId="34" fillId="0" borderId="0" xfId="0" quotePrefix="1" applyFont="1"/>
    <xf numFmtId="165" fontId="3" fillId="0" borderId="0" xfId="0" applyNumberFormat="1" applyFont="1"/>
    <xf numFmtId="0" fontId="48" fillId="0" borderId="0" xfId="0" applyFont="1" applyAlignment="1">
      <alignment horizontal="left"/>
    </xf>
    <xf numFmtId="3" fontId="48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0" fontId="0" fillId="0" borderId="5" xfId="0" applyBorder="1"/>
    <xf numFmtId="3" fontId="0" fillId="0" borderId="5" xfId="0" applyNumberFormat="1" applyBorder="1"/>
    <xf numFmtId="4" fontId="0" fillId="0" borderId="5" xfId="0" applyNumberFormat="1" applyBorder="1"/>
    <xf numFmtId="3" fontId="2" fillId="7" borderId="5" xfId="0" applyNumberFormat="1" applyFont="1" applyFill="1" applyBorder="1"/>
    <xf numFmtId="170" fontId="2" fillId="7" borderId="5" xfId="0" applyNumberFormat="1" applyFont="1" applyFill="1" applyBorder="1"/>
    <xf numFmtId="10" fontId="2" fillId="7" borderId="5" xfId="0" applyNumberFormat="1" applyFont="1" applyFill="1" applyBorder="1"/>
    <xf numFmtId="4" fontId="7" fillId="0" borderId="0" xfId="0" applyNumberFormat="1" applyFont="1"/>
    <xf numFmtId="10" fontId="7" fillId="0" borderId="0" xfId="0" applyNumberFormat="1" applyFont="1"/>
    <xf numFmtId="0" fontId="49" fillId="0" borderId="0" xfId="0" applyFont="1"/>
    <xf numFmtId="0" fontId="0" fillId="8" borderId="0" xfId="0" applyFill="1"/>
    <xf numFmtId="165" fontId="0" fillId="8" borderId="0" xfId="0" applyNumberFormat="1" applyFill="1"/>
    <xf numFmtId="165" fontId="0" fillId="8" borderId="0" xfId="1" applyNumberFormat="1" applyFont="1" applyFill="1"/>
    <xf numFmtId="164" fontId="0" fillId="0" borderId="0" xfId="0" applyNumberFormat="1"/>
    <xf numFmtId="0" fontId="0" fillId="7" borderId="0" xfId="0" applyFill="1"/>
    <xf numFmtId="165" fontId="0" fillId="7" borderId="0" xfId="0" applyNumberFormat="1" applyFill="1"/>
    <xf numFmtId="165" fontId="0" fillId="7" borderId="0" xfId="1" applyNumberFormat="1" applyFont="1" applyFill="1"/>
    <xf numFmtId="165" fontId="50" fillId="0" borderId="0" xfId="0" applyNumberFormat="1" applyFont="1"/>
    <xf numFmtId="165" fontId="50" fillId="0" borderId="0" xfId="1" applyNumberFormat="1" applyFont="1"/>
    <xf numFmtId="0" fontId="14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0" applyFont="1" applyFill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left" vertical="center"/>
    </xf>
    <xf numFmtId="176" fontId="0" fillId="0" borderId="0" xfId="1" applyNumberFormat="1" applyFont="1"/>
    <xf numFmtId="165" fontId="0" fillId="0" borderId="5" xfId="0" applyNumberFormat="1" applyBorder="1"/>
  </cellXfs>
  <cellStyles count="4">
    <cellStyle name="Comma" xfId="1" builtinId="3"/>
    <cellStyle name="Normal" xfId="0" builtinId="0"/>
    <cellStyle name="Normal 2" xfId="2" xr:uid="{18627245-8BDC-4B19-A6B7-384EE4417C4B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'BDA PILOT DEC 2022 Q23'!$K$54</c:f>
              <c:strCache>
                <c:ptCount val="1"/>
                <c:pt idx="0">
                  <c:v>NPV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'BDA PILOT DEC 2022 Q23'!$L$53:$U$53</c:f>
              <c:strCache>
                <c:ptCount val="10"/>
                <c:pt idx="0">
                  <c:v>BASE</c:v>
                </c:pt>
                <c:pt idx="1">
                  <c:v>SC10%</c:v>
                </c:pt>
                <c:pt idx="2">
                  <c:v>SC 11%</c:v>
                </c:pt>
                <c:pt idx="3">
                  <c:v>SC12%</c:v>
                </c:pt>
                <c:pt idx="4">
                  <c:v>SC 13%</c:v>
                </c:pt>
                <c:pt idx="5">
                  <c:v>SC14%</c:v>
                </c:pt>
                <c:pt idx="6">
                  <c:v>SC 15%</c:v>
                </c:pt>
                <c:pt idx="7">
                  <c:v>Scenario 1</c:v>
                </c:pt>
                <c:pt idx="8">
                  <c:v>Scenario 2</c:v>
                </c:pt>
                <c:pt idx="9">
                  <c:v>Scenario 3</c:v>
                </c:pt>
              </c:strCache>
            </c:strRef>
          </c:cat>
          <c:val>
            <c:numRef>
              <c:f>'BDA PILOT DEC 2022 Q23'!$L$54:$U$54</c:f>
              <c:numCache>
                <c:formatCode>_(* #,##0_);_(* \(#,##0\);_(* "-"??_);_(@_)</c:formatCode>
                <c:ptCount val="10"/>
                <c:pt idx="0">
                  <c:v>0</c:v>
                </c:pt>
                <c:pt idx="1">
                  <c:v>3194183.7871128526</c:v>
                </c:pt>
                <c:pt idx="2">
                  <c:v>2446508.1761928368</c:v>
                </c:pt>
                <c:pt idx="3">
                  <c:v>1758654.6764317472</c:v>
                </c:pt>
                <c:pt idx="4">
                  <c:v>1124921.7861074153</c:v>
                </c:pt>
                <c:pt idx="5">
                  <c:v>540220.04622955248</c:v>
                </c:pt>
                <c:pt idx="6">
                  <c:v>0</c:v>
                </c:pt>
                <c:pt idx="7">
                  <c:v>2402158.8812634349</c:v>
                </c:pt>
                <c:pt idx="8">
                  <c:v>4763339.6544184089</c:v>
                </c:pt>
                <c:pt idx="9">
                  <c:v>12027075.998876359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0E-480C-A35A-F4CF897D7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03964912"/>
        <c:axId val="529139120"/>
      </c:barChart>
      <c:catAx>
        <c:axId val="120396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139120"/>
        <c:crosses val="autoZero"/>
        <c:auto val="1"/>
        <c:lblAlgn val="ctr"/>
        <c:lblOffset val="100"/>
        <c:noMultiLvlLbl val="0"/>
      </c:catAx>
      <c:valAx>
        <c:axId val="529139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3964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Line graph</a:t>
            </a:r>
            <a:r>
              <a:rPr lang="en-US" baseline="0"/>
              <a:t> showing NPV against discopunting rate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'BDA DECMBER 2022 Q23'!$W$14</c:f>
              <c:strCache>
                <c:ptCount val="1"/>
                <c:pt idx="0">
                  <c:v>NPV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'BDA DECMBER 2022 Q23'!$V$15:$V$30</c:f>
              <c:numCache>
                <c:formatCode>0%</c:formatCode>
                <c:ptCount val="16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</c:numCache>
            </c:numRef>
          </c:xVal>
          <c:yVal>
            <c:numRef>
              <c:f>'BDA DECMBER 2022 Q23'!$W$15:$W$30</c:f>
              <c:numCache>
                <c:formatCode>_(* #,##0_);_(* \(#,##0\);_(* "-"??_);_(@_)</c:formatCode>
                <c:ptCount val="16"/>
                <c:pt idx="0">
                  <c:v>2686144.4152997248</c:v>
                </c:pt>
                <c:pt idx="1">
                  <c:v>2384168.2604847942</c:v>
                </c:pt>
                <c:pt idx="2">
                  <c:v>2093485.3011057265</c:v>
                </c:pt>
                <c:pt idx="3">
                  <c:v>1813544.3655684311</c:v>
                </c:pt>
                <c:pt idx="4">
                  <c:v>1543826.9033993036</c:v>
                </c:pt>
                <c:pt idx="5">
                  <c:v>1283844.7364615649</c:v>
                </c:pt>
                <c:pt idx="6">
                  <c:v>1033137.9861310367</c:v>
                </c:pt>
                <c:pt idx="7">
                  <c:v>791273.16108467244</c:v>
                </c:pt>
                <c:pt idx="8">
                  <c:v>557841.39182714373</c:v>
                </c:pt>
                <c:pt idx="9">
                  <c:v>332456.79939894564</c:v>
                </c:pt>
                <c:pt idx="10">
                  <c:v>114754.98689154722</c:v>
                </c:pt>
                <c:pt idx="11">
                  <c:v>-95608.35654415004</c:v>
                </c:pt>
                <c:pt idx="12">
                  <c:v>-298958.74855649844</c:v>
                </c:pt>
                <c:pt idx="13">
                  <c:v>-495604.11182227172</c:v>
                </c:pt>
                <c:pt idx="14">
                  <c:v>-685835.88537776656</c:v>
                </c:pt>
                <c:pt idx="15">
                  <c:v>-869930.0560880322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EB-4315-8790-A620DE38D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2986624"/>
        <c:axId val="1282987104"/>
      </c:scatterChart>
      <c:valAx>
        <c:axId val="1282986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Discounting rate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2987104"/>
        <c:crosses val="autoZero"/>
        <c:crossBetween val="midCat"/>
      </c:valAx>
      <c:valAx>
        <c:axId val="128298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29866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Clustered column showing NPV</a:t>
            </a:r>
            <a:r>
              <a:rPr lang="en-US" baseline="0"/>
              <a:t> under diffent scenarios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'BDA AUGUST 2023 Q22'!$H$58</c:f>
              <c:strCache>
                <c:ptCount val="1"/>
                <c:pt idx="0">
                  <c:v>NPV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'BDA AUGUST 2023 Q22'!$I$57:$O$57</c:f>
              <c:strCache>
                <c:ptCount val="7"/>
                <c:pt idx="0">
                  <c:v>Base</c:v>
                </c:pt>
                <c:pt idx="1">
                  <c:v>Initial capital cost   +5%</c:v>
                </c:pt>
                <c:pt idx="2">
                  <c:v>Residual value -5% </c:v>
                </c:pt>
                <c:pt idx="3">
                  <c:v>Selling price per unit -5%</c:v>
                </c:pt>
                <c:pt idx="4">
                  <c:v>Variable cost per unit +5%</c:v>
                </c:pt>
                <c:pt idx="5">
                  <c:v>Fixed costs per year +5%</c:v>
                </c:pt>
                <c:pt idx="6">
                  <c:v>Annual number of units sold -5%</c:v>
                </c:pt>
              </c:strCache>
            </c:strRef>
          </c:cat>
          <c:val>
            <c:numRef>
              <c:f>'BDA AUGUST 2023 Q22'!$I$58:$O$58</c:f>
              <c:numCache>
                <c:formatCode>_-* #,##0_-;\-* #,##0_-;_-* "-"??_-;_-@_-</c:formatCode>
                <c:ptCount val="7"/>
                <c:pt idx="0" formatCode="General">
                  <c:v>8280657.7697815821</c:v>
                </c:pt>
                <c:pt idx="1">
                  <c:v>6280657.7697815821</c:v>
                </c:pt>
                <c:pt idx="2">
                  <c:v>8209729.4128167629</c:v>
                </c:pt>
                <c:pt idx="3">
                  <c:v>2332777.03591232</c:v>
                </c:pt>
                <c:pt idx="4">
                  <c:v>5577075.6180228218</c:v>
                </c:pt>
                <c:pt idx="5">
                  <c:v>7379463.7191953287</c:v>
                </c:pt>
                <c:pt idx="6">
                  <c:v>5036359.1876710728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F3-40C9-8B39-AEE090C039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0599727"/>
        <c:axId val="210595407"/>
      </c:barChart>
      <c:catAx>
        <c:axId val="2105997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SCENARIOS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595407"/>
        <c:crosses val="autoZero"/>
        <c:auto val="1"/>
        <c:lblAlgn val="ctr"/>
        <c:lblOffset val="100"/>
        <c:noMultiLvlLbl val="0"/>
      </c:catAx>
      <c:valAx>
        <c:axId val="21059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5997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'BDA AUGUST 2024 Q22 LOAN S'!$AE$13</c:f>
              <c:strCache>
                <c:ptCount val="1"/>
                <c:pt idx="0">
                  <c:v> Bal c/d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'BDA AUGUST 2024 Q22 LOAN S'!$AE$14:$AE$73</c:f>
              <c:numCache>
                <c:formatCode>_(* #,##0_);_(* \(#,##0\);_(* "-"??_);_(@_)</c:formatCode>
                <c:ptCount val="60"/>
                <c:pt idx="0">
                  <c:v>1974848.4871880468</c:v>
                </c:pt>
                <c:pt idx="1">
                  <c:v>1949466.4188419839</c:v>
                </c:pt>
                <c:pt idx="2">
                  <c:v>1923851.6815360822</c:v>
                </c:pt>
                <c:pt idx="3">
                  <c:v>1898002.142471543</c:v>
                </c:pt>
                <c:pt idx="4">
                  <c:v>1871915.6492989121</c:v>
                </c:pt>
                <c:pt idx="5">
                  <c:v>1845590.0299388655</c:v>
                </c:pt>
                <c:pt idx="6">
                  <c:v>1819023.0924013518</c:v>
                </c:pt>
                <c:pt idx="7">
                  <c:v>1792212.6246030775</c:v>
                </c:pt>
                <c:pt idx="8">
                  <c:v>1765156.3941833191</c:v>
                </c:pt>
                <c:pt idx="9">
                  <c:v>1737852.1483180462</c:v>
                </c:pt>
                <c:pt idx="10">
                  <c:v>1710297.6135323418</c:v>
                </c:pt>
                <c:pt idx="11">
                  <c:v>1682490.4955111016</c:v>
                </c:pt>
                <c:pt idx="12">
                  <c:v>1654428.478908</c:v>
                </c:pt>
                <c:pt idx="13">
                  <c:v>1626109.2271527033</c:v>
                </c:pt>
                <c:pt idx="14">
                  <c:v>1597530.3822563165</c:v>
                </c:pt>
                <c:pt idx="15">
                  <c:v>1568689.5646150461</c:v>
                </c:pt>
                <c:pt idx="16">
                  <c:v>1539584.3728120641</c:v>
                </c:pt>
                <c:pt idx="17">
                  <c:v>1510212.3834175547</c:v>
                </c:pt>
                <c:pt idx="18">
                  <c:v>1480571.1507869291</c:v>
                </c:pt>
                <c:pt idx="19">
                  <c:v>1450658.2068571893</c:v>
                </c:pt>
                <c:pt idx="20">
                  <c:v>1420471.060941427</c:v>
                </c:pt>
                <c:pt idx="21">
                  <c:v>1390007.1995214368</c:v>
                </c:pt>
                <c:pt idx="22">
                  <c:v>1359264.08603843</c:v>
                </c:pt>
                <c:pt idx="23">
                  <c:v>1328239.1606818291</c:v>
                </c:pt>
                <c:pt idx="24">
                  <c:v>1296929.840176126</c:v>
                </c:pt>
                <c:pt idx="25">
                  <c:v>1265333.5175657873</c:v>
                </c:pt>
                <c:pt idx="26">
                  <c:v>1233447.5619981871</c:v>
                </c:pt>
                <c:pt idx="27">
                  <c:v>1201269.3185045505</c:v>
                </c:pt>
                <c:pt idx="28">
                  <c:v>1168796.1077788889</c:v>
                </c:pt>
                <c:pt idx="29">
                  <c:v>1136025.2259549089</c:v>
                </c:pt>
                <c:pt idx="30">
                  <c:v>1102953.9443808757</c:v>
                </c:pt>
                <c:pt idx="31">
                  <c:v>1069579.5093924138</c:v>
                </c:pt>
                <c:pt idx="32">
                  <c:v>1035899.1420832243</c:v>
                </c:pt>
                <c:pt idx="33">
                  <c:v>1001910.0380737005</c:v>
                </c:pt>
                <c:pt idx="34">
                  <c:v>967609.3672774228</c:v>
                </c:pt>
                <c:pt idx="35">
                  <c:v>932994.27366551256</c:v>
                </c:pt>
                <c:pt idx="36">
                  <c:v>898061.87502882653</c:v>
                </c:pt>
                <c:pt idx="37">
                  <c:v>862809.2627379708</c:v>
                </c:pt>
                <c:pt idx="38">
                  <c:v>827233.50150111562</c:v>
                </c:pt>
                <c:pt idx="39">
                  <c:v>791331.62911958923</c:v>
                </c:pt>
                <c:pt idx="40">
                  <c:v>755100.65624123218</c:v>
                </c:pt>
                <c:pt idx="41">
                  <c:v>718537.56611149025</c:v>
                </c:pt>
                <c:pt idx="42">
                  <c:v>681639.31432222563</c:v>
                </c:pt>
                <c:pt idx="43">
                  <c:v>644402.82855822612</c:v>
                </c:pt>
                <c:pt idx="44">
                  <c:v>606825.00834138994</c:v>
                </c:pt>
                <c:pt idx="45">
                  <c:v>568902.72477256611</c:v>
                </c:pt>
                <c:pt idx="46">
                  <c:v>530632.82027102797</c:v>
                </c:pt>
                <c:pt idx="47">
                  <c:v>492012.10831155913</c:v>
                </c:pt>
                <c:pt idx="48">
                  <c:v>453037.37315912847</c:v>
                </c:pt>
                <c:pt idx="49">
                  <c:v>413705.36960113386</c:v>
                </c:pt>
                <c:pt idx="50">
                  <c:v>374012.822677191</c:v>
                </c:pt>
                <c:pt idx="51">
                  <c:v>333956.42740644532</c:v>
                </c:pt>
                <c:pt idx="52">
                  <c:v>293532.84851238446</c:v>
                </c:pt>
                <c:pt idx="53">
                  <c:v>252738.72014512803</c:v>
                </c:pt>
                <c:pt idx="54">
                  <c:v>211570.64560117177</c:v>
                </c:pt>
                <c:pt idx="55">
                  <c:v>170025.19704056258</c:v>
                </c:pt>
                <c:pt idx="56">
                  <c:v>128098.91520148113</c:v>
                </c:pt>
                <c:pt idx="57">
                  <c:v>85788.309112208095</c:v>
                </c:pt>
                <c:pt idx="58">
                  <c:v>43089.855800450059</c:v>
                </c:pt>
                <c:pt idx="59">
                  <c:v>9.0949470177292824E-10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97-4E93-9F9D-1545818CA6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8654112"/>
        <c:axId val="88655072"/>
      </c:lineChart>
      <c:catAx>
        <c:axId val="886541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655072"/>
        <c:crosses val="autoZero"/>
        <c:auto val="1"/>
        <c:lblAlgn val="ctr"/>
        <c:lblOffset val="100"/>
        <c:noMultiLvlLbl val="0"/>
      </c:catAx>
      <c:valAx>
        <c:axId val="88655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654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ustomXml" Target="../ink/ink4.xml"/><Relationship Id="rId3" Type="http://schemas.openxmlformats.org/officeDocument/2006/relationships/image" Target="../media/image1.png"/><Relationship Id="rId7" Type="http://schemas.openxmlformats.org/officeDocument/2006/relationships/image" Target="../media/image3.png"/><Relationship Id="rId12" Type="http://schemas.openxmlformats.org/officeDocument/2006/relationships/customXml" Target="../ink/ink6.xml"/><Relationship Id="rId2" Type="http://schemas.openxmlformats.org/officeDocument/2006/relationships/customXml" Target="../ink/ink1.xml"/><Relationship Id="rId1" Type="http://schemas.openxmlformats.org/officeDocument/2006/relationships/chart" Target="../charts/chart2.xml"/><Relationship Id="rId6" Type="http://schemas.openxmlformats.org/officeDocument/2006/relationships/customXml" Target="../ink/ink3.xml"/><Relationship Id="rId11" Type="http://schemas.openxmlformats.org/officeDocument/2006/relationships/image" Target="../media/image5.png"/><Relationship Id="rId5" Type="http://schemas.openxmlformats.org/officeDocument/2006/relationships/image" Target="../media/image2.png"/><Relationship Id="rId10" Type="http://schemas.openxmlformats.org/officeDocument/2006/relationships/customXml" Target="../ink/ink5.xml"/><Relationship Id="rId4" Type="http://schemas.openxmlformats.org/officeDocument/2006/relationships/customXml" Target="../ink/ink2.xml"/><Relationship Id="rId9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88900</xdr:colOff>
      <xdr:row>56</xdr:row>
      <xdr:rowOff>120650</xdr:rowOff>
    </xdr:from>
    <xdr:to>
      <xdr:col>20</xdr:col>
      <xdr:colOff>641349</xdr:colOff>
      <xdr:row>76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72E5356-5F28-E702-7E3A-9AD5AA47CF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517524</xdr:colOff>
      <xdr:row>6</xdr:row>
      <xdr:rowOff>127000</xdr:rowOff>
    </xdr:from>
    <xdr:to>
      <xdr:col>40</xdr:col>
      <xdr:colOff>546100</xdr:colOff>
      <xdr:row>30</xdr:row>
      <xdr:rowOff>120650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5CF220-037E-90DA-BA8F-AC2A4A4F83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31</xdr:col>
      <xdr:colOff>148510</xdr:colOff>
      <xdr:row>27</xdr:row>
      <xdr:rowOff>120400</xdr:rowOff>
    </xdr:from>
    <xdr:to>
      <xdr:col>31</xdr:col>
      <xdr:colOff>191710</xdr:colOff>
      <xdr:row>28</xdr:row>
      <xdr:rowOff>86370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">
          <xdr14:nvContentPartPr>
            <xdr14:cNvPr id="3" name="Ink 2">
              <a:extLst>
                <a:ext uri="{FF2B5EF4-FFF2-40B4-BE49-F238E27FC236}">
                  <a16:creationId xmlns:a16="http://schemas.microsoft.com/office/drawing/2014/main" id="{D3BB758A-8674-B3AD-97A1-35AE91588E5E}"/>
                </a:ext>
              </a:extLst>
            </xdr14:cNvPr>
            <xdr14:cNvContentPartPr/>
          </xdr14:nvContentPartPr>
          <xdr14:nvPr macro=""/>
          <xdr14:xfrm>
            <a:off x="20297060" y="5289300"/>
            <a:ext cx="43200" cy="150120"/>
          </xdr14:xfrm>
        </xdr:contentPart>
      </mc:Choice>
      <mc:Fallback xmlns="">
        <xdr:pic>
          <xdr:nvPicPr>
            <xdr:cNvPr id="3" name="Ink 2">
              <a:extLst>
                <a:ext uri="{FF2B5EF4-FFF2-40B4-BE49-F238E27FC236}">
                  <a16:creationId xmlns:a16="http://schemas.microsoft.com/office/drawing/2014/main" id="{D3BB758A-8674-B3AD-97A1-35AE91588E5E}"/>
                </a:ext>
              </a:extLst>
            </xdr:cNvPr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20290940" y="5283180"/>
              <a:ext cx="55440" cy="1623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31</xdr:col>
      <xdr:colOff>101350</xdr:colOff>
      <xdr:row>27</xdr:row>
      <xdr:rowOff>181960</xdr:rowOff>
    </xdr:from>
    <xdr:to>
      <xdr:col>31</xdr:col>
      <xdr:colOff>248230</xdr:colOff>
      <xdr:row>28</xdr:row>
      <xdr:rowOff>12930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4" name="Ink 3">
              <a:extLst>
                <a:ext uri="{FF2B5EF4-FFF2-40B4-BE49-F238E27FC236}">
                  <a16:creationId xmlns:a16="http://schemas.microsoft.com/office/drawing/2014/main" id="{19AE2C3B-AD66-1106-78D7-6514D7F81F95}"/>
                </a:ext>
              </a:extLst>
            </xdr14:cNvPr>
            <xdr14:cNvContentPartPr/>
          </xdr14:nvContentPartPr>
          <xdr14:nvPr macro=""/>
          <xdr14:xfrm>
            <a:off x="20249900" y="5350860"/>
            <a:ext cx="146880" cy="15120"/>
          </xdr14:xfrm>
        </xdr:contentPart>
      </mc:Choice>
      <mc:Fallback xmlns="">
        <xdr:pic>
          <xdr:nvPicPr>
            <xdr:cNvPr id="4" name="Ink 3">
              <a:extLst>
                <a:ext uri="{FF2B5EF4-FFF2-40B4-BE49-F238E27FC236}">
                  <a16:creationId xmlns:a16="http://schemas.microsoft.com/office/drawing/2014/main" id="{19AE2C3B-AD66-1106-78D7-6514D7F81F95}"/>
                </a:ext>
              </a:extLst>
            </xdr:cNvPr>
            <xdr:cNvPicPr/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20243780" y="5344740"/>
              <a:ext cx="159120" cy="273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31</xdr:col>
      <xdr:colOff>145990</xdr:colOff>
      <xdr:row>27</xdr:row>
      <xdr:rowOff>139480</xdr:rowOff>
    </xdr:from>
    <xdr:to>
      <xdr:col>31</xdr:col>
      <xdr:colOff>239590</xdr:colOff>
      <xdr:row>28</xdr:row>
      <xdr:rowOff>63330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5" name="Ink 4">
              <a:extLst>
                <a:ext uri="{FF2B5EF4-FFF2-40B4-BE49-F238E27FC236}">
                  <a16:creationId xmlns:a16="http://schemas.microsoft.com/office/drawing/2014/main" id="{4CD2E67F-0981-6165-FDAA-39193A9AF8DF}"/>
                </a:ext>
              </a:extLst>
            </xdr14:cNvPr>
            <xdr14:cNvContentPartPr/>
          </xdr14:nvContentPartPr>
          <xdr14:nvPr macro=""/>
          <xdr14:xfrm>
            <a:off x="20294540" y="5308380"/>
            <a:ext cx="93600" cy="108000"/>
          </xdr14:xfrm>
        </xdr:contentPart>
      </mc:Choice>
      <mc:Fallback xmlns="">
        <xdr:pic>
          <xdr:nvPicPr>
            <xdr:cNvPr id="5" name="Ink 4">
              <a:extLst>
                <a:ext uri="{FF2B5EF4-FFF2-40B4-BE49-F238E27FC236}">
                  <a16:creationId xmlns:a16="http://schemas.microsoft.com/office/drawing/2014/main" id="{4CD2E67F-0981-6165-FDAA-39193A9AF8DF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20288420" y="5302260"/>
              <a:ext cx="105840" cy="1202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31</xdr:col>
      <xdr:colOff>284230</xdr:colOff>
      <xdr:row>24</xdr:row>
      <xdr:rowOff>48970</xdr:rowOff>
    </xdr:from>
    <xdr:to>
      <xdr:col>32</xdr:col>
      <xdr:colOff>343480</xdr:colOff>
      <xdr:row>26</xdr:row>
      <xdr:rowOff>102590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11" name="Ink 10">
              <a:extLst>
                <a:ext uri="{FF2B5EF4-FFF2-40B4-BE49-F238E27FC236}">
                  <a16:creationId xmlns:a16="http://schemas.microsoft.com/office/drawing/2014/main" id="{E56C5EA9-57BC-BB2D-E513-4AD4E1CF97CC}"/>
                </a:ext>
              </a:extLst>
            </xdr14:cNvPr>
            <xdr14:cNvContentPartPr/>
          </xdr14:nvContentPartPr>
          <xdr14:nvPr macro=""/>
          <xdr14:xfrm>
            <a:off x="20432780" y="4665420"/>
            <a:ext cx="878400" cy="421920"/>
          </xdr14:xfrm>
        </xdr:contentPart>
      </mc:Choice>
      <mc:Fallback xmlns="">
        <xdr:pic>
          <xdr:nvPicPr>
            <xdr:cNvPr id="11" name="Ink 10">
              <a:extLst>
                <a:ext uri="{FF2B5EF4-FFF2-40B4-BE49-F238E27FC236}">
                  <a16:creationId xmlns:a16="http://schemas.microsoft.com/office/drawing/2014/main" id="{E56C5EA9-57BC-BB2D-E513-4AD4E1CF97CC}"/>
                </a:ext>
              </a:extLst>
            </xdr:cNvPr>
            <xdr:cNvPicPr/>
          </xdr:nvPicPr>
          <xdr:blipFill>
            <a:blip xmlns:r="http://schemas.openxmlformats.org/officeDocument/2006/relationships" r:embed="rId9"/>
            <a:stretch>
              <a:fillRect/>
            </a:stretch>
          </xdr:blipFill>
          <xdr:spPr>
            <a:xfrm>
              <a:off x="20426660" y="4659305"/>
              <a:ext cx="890640" cy="43415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29</xdr:col>
      <xdr:colOff>552310</xdr:colOff>
      <xdr:row>28</xdr:row>
      <xdr:rowOff>31290</xdr:rowOff>
    </xdr:from>
    <xdr:to>
      <xdr:col>29</xdr:col>
      <xdr:colOff>552670</xdr:colOff>
      <xdr:row>28</xdr:row>
      <xdr:rowOff>31650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">
          <xdr14:nvContentPartPr>
            <xdr14:cNvPr id="12" name="Ink 11">
              <a:extLst>
                <a:ext uri="{FF2B5EF4-FFF2-40B4-BE49-F238E27FC236}">
                  <a16:creationId xmlns:a16="http://schemas.microsoft.com/office/drawing/2014/main" id="{7F9A8220-C0BC-8F31-7A00-7ADB4C50A8BD}"/>
                </a:ext>
              </a:extLst>
            </xdr14:cNvPr>
            <xdr14:cNvContentPartPr/>
          </xdr14:nvContentPartPr>
          <xdr14:nvPr macro=""/>
          <xdr14:xfrm>
            <a:off x="19481660" y="5384340"/>
            <a:ext cx="360" cy="360"/>
          </xdr14:xfrm>
        </xdr:contentPart>
      </mc:Choice>
      <mc:Fallback xmlns="">
        <xdr:pic>
          <xdr:nvPicPr>
            <xdr:cNvPr id="12" name="Ink 11">
              <a:extLst>
                <a:ext uri="{FF2B5EF4-FFF2-40B4-BE49-F238E27FC236}">
                  <a16:creationId xmlns:a16="http://schemas.microsoft.com/office/drawing/2014/main" id="{7F9A8220-C0BC-8F31-7A00-7ADB4C50A8BD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19475540" y="5378220"/>
              <a:ext cx="12600" cy="126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30</xdr:col>
      <xdr:colOff>577750</xdr:colOff>
      <xdr:row>28</xdr:row>
      <xdr:rowOff>25170</xdr:rowOff>
    </xdr:from>
    <xdr:to>
      <xdr:col>30</xdr:col>
      <xdr:colOff>578110</xdr:colOff>
      <xdr:row>28</xdr:row>
      <xdr:rowOff>25530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">
          <xdr14:nvContentPartPr>
            <xdr14:cNvPr id="13" name="Ink 12">
              <a:extLst>
                <a:ext uri="{FF2B5EF4-FFF2-40B4-BE49-F238E27FC236}">
                  <a16:creationId xmlns:a16="http://schemas.microsoft.com/office/drawing/2014/main" id="{21E1E2CA-EAF7-DBD6-EB5C-65F1E04CBB39}"/>
                </a:ext>
              </a:extLst>
            </xdr14:cNvPr>
            <xdr14:cNvContentPartPr/>
          </xdr14:nvContentPartPr>
          <xdr14:nvPr macro=""/>
          <xdr14:xfrm>
            <a:off x="20116700" y="5378220"/>
            <a:ext cx="360" cy="360"/>
          </xdr14:xfrm>
        </xdr:contentPart>
      </mc:Choice>
      <mc:Fallback xmlns="">
        <xdr:pic>
          <xdr:nvPicPr>
            <xdr:cNvPr id="13" name="Ink 12">
              <a:extLst>
                <a:ext uri="{FF2B5EF4-FFF2-40B4-BE49-F238E27FC236}">
                  <a16:creationId xmlns:a16="http://schemas.microsoft.com/office/drawing/2014/main" id="{21E1E2CA-EAF7-DBD6-EB5C-65F1E04CBB39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20110580" y="5372100"/>
              <a:ext cx="12600" cy="126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1482724</xdr:colOff>
      <xdr:row>59</xdr:row>
      <xdr:rowOff>19050</xdr:rowOff>
    </xdr:from>
    <xdr:to>
      <xdr:col>15</xdr:col>
      <xdr:colOff>247650</xdr:colOff>
      <xdr:row>76</xdr:row>
      <xdr:rowOff>133350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2E3456F-ABF1-024A-8763-7CE6E68045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520700</xdr:colOff>
      <xdr:row>57</xdr:row>
      <xdr:rowOff>76200</xdr:rowOff>
    </xdr:from>
    <xdr:to>
      <xdr:col>38</xdr:col>
      <xdr:colOff>323849</xdr:colOff>
      <xdr:row>71</xdr:row>
      <xdr:rowOff>63500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678F953-26E8-0B42-F681-0D00310605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152400</xdr:colOff>
      <xdr:row>25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27C4EE-400A-4F00-8C08-A85936EB8D44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590" t="8921" r="12339" b="12970"/>
        <a:stretch/>
      </xdr:blipFill>
      <xdr:spPr bwMode="auto">
        <a:xfrm>
          <a:off x="0" y="0"/>
          <a:ext cx="7467600" cy="48672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10-27T18:55:14.375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117 1 24575,'1'56'0,"1"-32"0,-2 1 0,0-1 0,-7 41 0,4-57 0,0-1 0,0 1 0,0-1 0,-1 1 0,0-1 0,-1 0 0,0 0 0,0-1 0,-7 8 0,6-7 0,0 0 0,0 1 0,0 0 0,1 0 0,1 0 0,-6 13 0,-6 32-1365,10-31-5461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10-27T18:55:19.340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1 42 24575,'6'0'0,"5"0"0,6 0 0,4 0 0,1 0 0,0 0 0,-1 0 0,2 0 0,0 0 0,6 0 0,3 0 0,-1 0 0,-2 0 0,-4-3 0,-2-4 0,0-4 0,3 0 0,-4 2-8191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10-27T18:55:26.362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1 1 24575,'0'0'0,"1"0"0,0 1 0,-1-1 0,1 1 0,-1-1 0,1 1 0,0-1 0,-1 1 0,1-1 0,-1 1 0,1-1 0,-1 1 0,0-1 0,1 1 0,-1 0 0,1-1 0,-1 1 0,0 0 0,0 0 0,1-1 0,-1 1 0,0 0 0,0-1 0,0 2 0,4 25 0,-3-20 0,0 0 0,1-1 0,-1 1 0,1-1 0,0 1 0,1-1 0,0 0 0,0 1 0,0-1 0,0-1 0,1 1 0,0 0 0,9 9 0,-5-9 0,-1 0 0,1-1 0,0 1 0,1-1 0,-1-1 0,1 0 0,0 0 0,14 4 0,-16-6-72,-1 0 1,0 1-1,1 0 0,-1 0 0,0 0 0,-1 1 0,1 0 0,0 0 1,-1 0-1,0 1 0,0 0 0,-1 0 0,1 0 0,-1 0 0,0 1 1,0 0-1,-1 0 0,5 9 0,0 7-6754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10-27T18:55:32.290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0 767 24575,'0'0'0,"0"0"0,0 0 0,0 0 0,0 0 0,0 3 0,2 8 0,2 8 0,3 10 0,6 11 0,7 12 0,5 10 0,1 0 0,-6-11-8191</inkml:trace>
  <inkml:trace contextRef="#ctx0" brushRef="#br0" timeOffset="1141.58">580 563 24575,'0'0'0,"0"7"0,3 107 0,6 0 0,31 160 0,-40-273 0,3 9 0,-1 1 0,0-1 0,-1 1 0,0 0 0,-1-1 0,0 1 0,-2 12 0,2-23 0,0 0 0,0 0 0,0 0 0,0 0 0,-1 0 0,1 1 0,0-1 0,0 0 0,0 0 0,0 0 0,0 0 0,0 0 0,0 0 0,0 0 0,0 1 0,-1-1 0,1 0 0,0 0 0,0 0 0,0 0 0,0 0 0,0 0 0,0 0 0,-1 0 0,1 0 0,0 0 0,0 0 0,0 0 0,0 0 0,0 0 0,-1 0 0,1 0 0,0 0 0,0 0 0,0 0 0,0 0 0,-1 0 0,1 0 0,0 0 0,0 0 0,0 0 0,0 0 0,0 0 0,0 0 0,-1 0 0,1 0 0,0 0 0,0-1 0,-10-7 0,-8-13 0,2-5 0,1-1 0,1 0 0,2-1 0,0 0 0,2-1 0,-10-45 0,11 28 0,1-1 0,3 1 0,1-75 0,4 113 0,0 0 0,1 0 0,0 0 0,0 0 0,1 0 0,0 0 0,0 0 0,1 0 0,0 1 0,0 0 0,1-1 0,-1 1 0,2 0 0,-1 1 0,1-1 0,0 1 0,0 0 0,1 0 0,0 0 0,8-5 0,47-32 0,101-55 0,-154 93 0,-2 2 0,0-1 0,1 1 0,0 0 0,-1 0 0,9-2 0,-14 5 0,0 0 0,1-1 0,-1 1 0,1 0 0,-1 0 0,1 0 0,-1 0 0,0 0 0,1 0 0,-1 1 0,1-1 0,-1 0 0,0 1 0,1-1 0,-1 1 0,0-1 0,1 1 0,-1 0 0,0-1 0,0 1 0,1 0 0,-1 0 0,0 0 0,0 0 0,0 0 0,0 0 0,0 0 0,-1 0 0,1 1 0,0-1 0,0 2 0,3 5 0,-2-1 0,1 0 0,-1 1 0,0-1 0,-1 1 0,0 0 0,1 10 0,-5 58 0,3-69 0,-3 23 0,0 1 0,-3-1 0,0 0 0,-2 0 0,-1 0 0,-1-1 0,-16 30 0,14-37 0,0 0 0,-2-1 0,0-1 0,-1 0 0,-1-1 0,-1-1 0,-1 0 0,0-1 0,-27 18 0,41-32 0,-19 12 0,22-14 0,0 0 0,0-1 0,0 1 0,-1 0 0,1-1 0,0 0 0,0 1 0,-1-1 0,1 0 0,0 0 0,-1 1 0,1-1 0,0 0 0,-1 0 0,-2-1 0,6-1 0,0 0 0,-1 1 0,1-1 0,0 0 0,0 1 0,0-1 0,0 1 0,0 0 0,3-2 0,40-18 0,0 1 0,70-19 0,100-16 0,-154 41 0,-5 4 89,-38 8-816,30-8 0</inkml:trace>
  <inkml:trace contextRef="#ctx0" brushRef="#br0" timeOffset="1499.41">1449 263 24575,'0'0'0,"0"0"0,0 3 0,4 10 0,3 12 0,5 14 0,3 12 0,3 11 0,1 3 0,1 0 0,0-4 0,0-2 0,-1-4 0,-5-12-8191</inkml:trace>
  <inkml:trace contextRef="#ctx0" brushRef="#br0" timeOffset="2395.83">1594 389 24575,'0'-21'0,"0"8"0,1 0 0,1 1 0,0-1 0,1 0 0,0 1 0,0 0 0,2 0 0,-1 0 0,2 0 0,0 1 0,0 0 0,1 0 0,10-13 0,-2 2 0,2 2 0,0 0 0,2 0 0,29-24 0,-40 38 0,1-1 0,0 1 0,0 0 0,1 1 0,-1 0 0,1 0 0,0 1 0,1 0 0,-1 1 0,1 0 0,-1 1 0,1 0 0,17 0 0,-25 2 0,0 0 0,0 0 0,-1 0 0,1 1 0,0 0 0,-1-1 0,1 1 0,-1 0 0,1 0 0,-1 0 0,1 1 0,-1-1 0,0 0 0,0 1 0,0 0 0,0-1 0,0 1 0,0 0 0,0 0 0,0 0 0,0 0 0,-1 1 0,0-1 0,1 0 0,-1 1 0,0-1 0,0 1 0,0-1 0,1 4 0,0 3 0,0 0 0,-1 0 0,0 0 0,-1 0 0,0 1 0,0-1 0,-2 14 0,-3 3 0,-1-1 0,-2 0 0,0 0 0,-1-1 0,-18 33 0,-73 110 0,-55 49 0,163-228 0,-6 9 0,1 0 0,0 0 0,-1 0 0,1 0 0,0 1 0,4-3 0,1 1 0,0 1 0,0 0 0,0 0 0,0 1 0,0 0 0,17-2 0,54 1 0,-68 3 0,519 34 0,-520-32 0,-8-2 0,1 1 0,-1-1 0,1 1 0,-1-1 0,1 0 0,-1 0 0,1 0 0,4-1 0,-7 2-1365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10-27T18:55:53.444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1 1 24575,'0'0'-8191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10-27T18:55:55.723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1 1 24575,'0'0'-8191</inkml:trace>
</inkml: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E7209-C1B7-45CC-B02B-891A44EA8C8B}">
  <sheetPr>
    <outlinePr summaryBelow="0"/>
  </sheetPr>
  <dimension ref="B1:K14"/>
  <sheetViews>
    <sheetView showGridLines="0" workbookViewId="0">
      <selection activeCell="C11" sqref="C11"/>
    </sheetView>
  </sheetViews>
  <sheetFormatPr defaultRowHeight="14.5" outlineLevelRow="1" outlineLevelCol="1"/>
  <cols>
    <col min="3" max="3" width="5.6328125" bestFit="1" customWidth="1"/>
    <col min="4" max="11" width="12.54296875" bestFit="1" customWidth="1" outlineLevel="1"/>
  </cols>
  <sheetData>
    <row r="1" spans="2:11" ht="15" thickBot="1"/>
    <row r="2" spans="2:11" ht="15.5">
      <c r="B2" s="151" t="s">
        <v>415</v>
      </c>
      <c r="C2" s="151"/>
      <c r="D2" s="156"/>
      <c r="E2" s="156"/>
      <c r="F2" s="156"/>
      <c r="G2" s="156"/>
      <c r="H2" s="156"/>
      <c r="I2" s="156"/>
      <c r="J2" s="156"/>
      <c r="K2" s="156"/>
    </row>
    <row r="3" spans="2:11" ht="15.5" collapsed="1">
      <c r="B3" s="150"/>
      <c r="C3" s="150"/>
      <c r="D3" s="157" t="s">
        <v>417</v>
      </c>
      <c r="E3" s="157" t="s">
        <v>406</v>
      </c>
      <c r="F3" s="157" t="s">
        <v>408</v>
      </c>
      <c r="G3" s="157" t="s">
        <v>409</v>
      </c>
      <c r="H3" s="157" t="s">
        <v>411</v>
      </c>
      <c r="I3" s="157" t="s">
        <v>412</v>
      </c>
      <c r="J3" s="157" t="s">
        <v>413</v>
      </c>
      <c r="K3" s="157" t="s">
        <v>414</v>
      </c>
    </row>
    <row r="4" spans="2:11" ht="42" hidden="1" outlineLevel="1">
      <c r="B4" s="153"/>
      <c r="C4" s="153"/>
      <c r="D4" s="146"/>
      <c r="E4" s="160" t="s">
        <v>407</v>
      </c>
      <c r="F4" s="160" t="s">
        <v>407</v>
      </c>
      <c r="G4" s="160" t="s">
        <v>410</v>
      </c>
      <c r="H4" s="160" t="s">
        <v>407</v>
      </c>
      <c r="I4" s="160" t="s">
        <v>407</v>
      </c>
      <c r="J4" s="160" t="s">
        <v>407</v>
      </c>
      <c r="K4" s="160" t="s">
        <v>407</v>
      </c>
    </row>
    <row r="5" spans="2:11">
      <c r="B5" s="154" t="s">
        <v>416</v>
      </c>
      <c r="C5" s="154"/>
      <c r="D5" s="152"/>
      <c r="E5" s="152"/>
      <c r="F5" s="152"/>
      <c r="G5" s="152"/>
      <c r="H5" s="152"/>
      <c r="I5" s="152"/>
      <c r="J5" s="152"/>
      <c r="K5" s="152"/>
    </row>
    <row r="6" spans="2:11" outlineLevel="1">
      <c r="B6" s="153"/>
      <c r="C6" s="153" t="s">
        <v>401</v>
      </c>
      <c r="D6" s="147">
        <v>10000000</v>
      </c>
      <c r="E6" s="158">
        <v>10000000</v>
      </c>
      <c r="F6" s="158">
        <v>10000000</v>
      </c>
      <c r="G6" s="158">
        <v>10000000</v>
      </c>
      <c r="H6" s="158">
        <v>10000000</v>
      </c>
      <c r="I6" s="158">
        <v>10000000</v>
      </c>
      <c r="J6" s="158">
        <v>10000000</v>
      </c>
      <c r="K6" s="158">
        <v>10000000</v>
      </c>
    </row>
    <row r="7" spans="2:11" outlineLevel="1">
      <c r="B7" s="153"/>
      <c r="C7" s="153" t="s">
        <v>402</v>
      </c>
      <c r="D7" s="148">
        <v>0.15</v>
      </c>
      <c r="E7" s="159">
        <v>0.15</v>
      </c>
      <c r="F7" s="159">
        <v>0.1</v>
      </c>
      <c r="G7" s="159">
        <v>0.11</v>
      </c>
      <c r="H7" s="159">
        <v>0.13</v>
      </c>
      <c r="I7" s="159">
        <v>0.14000000000000001</v>
      </c>
      <c r="J7" s="159">
        <v>0.15</v>
      </c>
      <c r="K7" s="159">
        <v>0.12</v>
      </c>
    </row>
    <row r="8" spans="2:11" outlineLevel="1">
      <c r="B8" s="153"/>
      <c r="C8" s="153" t="s">
        <v>403</v>
      </c>
      <c r="D8" s="147">
        <v>1209466.8471520101</v>
      </c>
      <c r="E8" s="158">
        <v>1209466.8471520101</v>
      </c>
      <c r="F8" s="158">
        <v>1209466.8471520101</v>
      </c>
      <c r="G8" s="158">
        <v>1209466.8471520101</v>
      </c>
      <c r="H8" s="158">
        <v>1209466.8471520101</v>
      </c>
      <c r="I8" s="158">
        <v>1209466.8471520101</v>
      </c>
      <c r="J8" s="158">
        <v>1209466.8471520101</v>
      </c>
      <c r="K8" s="158">
        <v>1209466.8471520101</v>
      </c>
    </row>
    <row r="9" spans="2:11" outlineLevel="1">
      <c r="B9" s="153"/>
      <c r="C9" s="153" t="s">
        <v>404</v>
      </c>
      <c r="D9" s="148">
        <v>0.1</v>
      </c>
      <c r="E9" s="159">
        <v>0.1</v>
      </c>
      <c r="F9" s="159">
        <v>0.1</v>
      </c>
      <c r="G9" s="159">
        <v>0.1</v>
      </c>
      <c r="H9" s="159">
        <v>0.1</v>
      </c>
      <c r="I9" s="159">
        <v>0.1</v>
      </c>
      <c r="J9" s="159">
        <v>0.1</v>
      </c>
      <c r="K9" s="159">
        <v>0.1</v>
      </c>
    </row>
    <row r="10" spans="2:11">
      <c r="B10" s="154" t="s">
        <v>418</v>
      </c>
      <c r="C10" s="154"/>
      <c r="D10" s="152"/>
      <c r="E10" s="152"/>
      <c r="F10" s="152"/>
      <c r="G10" s="152"/>
      <c r="H10" s="152"/>
      <c r="I10" s="152"/>
      <c r="J10" s="152"/>
      <c r="K10" s="152"/>
    </row>
    <row r="11" spans="2:11" ht="15" outlineLevel="1" thickBot="1">
      <c r="B11" s="155"/>
      <c r="C11" s="155" t="s">
        <v>405</v>
      </c>
      <c r="D11" s="149">
        <v>0</v>
      </c>
      <c r="E11" s="149">
        <v>0</v>
      </c>
      <c r="F11" s="149">
        <v>3194183.7871128302</v>
      </c>
      <c r="G11" s="149">
        <v>2446508.1761928201</v>
      </c>
      <c r="H11" s="149">
        <v>1124921.7861074</v>
      </c>
      <c r="I11" s="149">
        <v>540220.04622953897</v>
      </c>
      <c r="J11" s="149">
        <v>0</v>
      </c>
      <c r="K11" s="149">
        <v>1758654.6764317299</v>
      </c>
    </row>
    <row r="12" spans="2:11">
      <c r="B12" t="s">
        <v>419</v>
      </c>
    </row>
    <row r="13" spans="2:11">
      <c r="B13" t="s">
        <v>420</v>
      </c>
    </row>
    <row r="14" spans="2:11">
      <c r="B14" t="s">
        <v>421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1F47A-4057-4F58-9345-66EE5F274075}">
  <dimension ref="A1:BL78"/>
  <sheetViews>
    <sheetView topLeftCell="N3" workbookViewId="0">
      <selection activeCell="Z14" sqref="Z14:Z73"/>
    </sheetView>
  </sheetViews>
  <sheetFormatPr defaultRowHeight="14.5"/>
  <cols>
    <col min="1" max="1" width="4.54296875" customWidth="1"/>
    <col min="2" max="2" width="25.81640625" customWidth="1"/>
    <col min="3" max="3" width="15.81640625" customWidth="1"/>
    <col min="4" max="4" width="17" customWidth="1"/>
    <col min="5" max="5" width="14.453125" customWidth="1"/>
    <col min="6" max="6" width="17.1796875" customWidth="1"/>
    <col min="7" max="7" width="10.6328125" customWidth="1"/>
    <col min="9" max="9" width="13.26953125" customWidth="1"/>
    <col min="11" max="11" width="13.7265625" customWidth="1"/>
    <col min="15" max="15" width="24.36328125" bestFit="1" customWidth="1"/>
    <col min="16" max="16" width="11.7265625" bestFit="1" customWidth="1"/>
    <col min="17" max="17" width="10.6328125" customWidth="1"/>
    <col min="18" max="18" width="11.7265625" customWidth="1"/>
    <col min="20" max="21" width="15.81640625" customWidth="1"/>
    <col min="25" max="25" width="18.90625" bestFit="1" customWidth="1"/>
    <col min="26" max="26" width="11" customWidth="1"/>
    <col min="31" max="31" width="13.26953125" style="94" customWidth="1"/>
    <col min="57" max="57" width="25" bestFit="1" customWidth="1"/>
    <col min="58" max="58" width="19" bestFit="1" customWidth="1"/>
    <col min="60" max="60" width="12.54296875" bestFit="1" customWidth="1"/>
    <col min="61" max="63" width="18.54296875" customWidth="1"/>
    <col min="64" max="64" width="12.54296875" bestFit="1" customWidth="1"/>
  </cols>
  <sheetData>
    <row r="1" spans="1:63" ht="15.5">
      <c r="A1" s="76" t="s">
        <v>27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63" ht="15.5">
      <c r="A2" s="1" t="s">
        <v>229</v>
      </c>
      <c r="B2" s="1"/>
      <c r="C2" s="1"/>
      <c r="D2" s="1"/>
      <c r="E2" s="1"/>
      <c r="F2" s="1"/>
      <c r="G2" s="1"/>
      <c r="H2" s="1"/>
      <c r="I2" s="1"/>
      <c r="J2" s="1"/>
      <c r="K2" s="1"/>
      <c r="BE2" t="s">
        <v>527</v>
      </c>
      <c r="BJ2" s="161" t="s">
        <v>513</v>
      </c>
      <c r="BK2" s="181" t="s">
        <v>516</v>
      </c>
    </row>
    <row r="3" spans="1:63" ht="15.5">
      <c r="A3" s="1" t="s">
        <v>230</v>
      </c>
      <c r="B3" s="1"/>
      <c r="C3" s="1"/>
      <c r="D3" s="1"/>
      <c r="E3" s="1"/>
      <c r="F3" s="1"/>
      <c r="G3" s="1"/>
      <c r="H3" s="1"/>
      <c r="I3" s="1"/>
      <c r="J3" s="1"/>
      <c r="K3" s="1"/>
      <c r="O3" s="77" t="s">
        <v>233</v>
      </c>
      <c r="P3" s="78">
        <v>2000000</v>
      </c>
      <c r="W3" t="s">
        <v>516</v>
      </c>
      <c r="BJ3" t="s">
        <v>515</v>
      </c>
      <c r="BK3">
        <v>1</v>
      </c>
    </row>
    <row r="4" spans="1:63" ht="15.5">
      <c r="A4" s="1" t="s">
        <v>231</v>
      </c>
      <c r="B4" s="1"/>
      <c r="C4" s="1"/>
      <c r="D4" s="1"/>
      <c r="E4" s="1"/>
      <c r="F4" s="1"/>
      <c r="G4" s="1"/>
      <c r="H4" s="1"/>
      <c r="I4" s="1"/>
      <c r="J4" s="1"/>
      <c r="K4" s="1"/>
      <c r="O4" s="77" t="s">
        <v>234</v>
      </c>
      <c r="P4" s="79">
        <v>5</v>
      </c>
      <c r="V4" t="s">
        <v>551</v>
      </c>
      <c r="W4">
        <v>12</v>
      </c>
      <c r="BE4" t="s">
        <v>511</v>
      </c>
      <c r="BF4" s="94">
        <v>2000000</v>
      </c>
      <c r="BJ4" t="s">
        <v>517</v>
      </c>
      <c r="BK4">
        <v>2</v>
      </c>
    </row>
    <row r="5" spans="1:63" ht="15.5">
      <c r="A5" s="1" t="s">
        <v>232</v>
      </c>
      <c r="B5" s="1"/>
      <c r="C5" s="1"/>
      <c r="D5" s="1"/>
      <c r="E5" s="1"/>
      <c r="F5" s="1"/>
      <c r="G5" s="1"/>
      <c r="H5" s="1"/>
      <c r="I5" s="1"/>
      <c r="J5" s="1"/>
      <c r="K5" s="1"/>
      <c r="O5" s="77" t="s">
        <v>235</v>
      </c>
      <c r="P5" s="79" t="s">
        <v>103</v>
      </c>
      <c r="Q5">
        <v>12</v>
      </c>
      <c r="V5" t="s">
        <v>552</v>
      </c>
      <c r="BE5" t="s">
        <v>529</v>
      </c>
      <c r="BF5" s="133">
        <v>0.11</v>
      </c>
      <c r="BJ5" t="s">
        <v>518</v>
      </c>
      <c r="BK5">
        <v>4</v>
      </c>
    </row>
    <row r="6" spans="1:63" ht="15.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O6" s="77" t="s">
        <v>4</v>
      </c>
      <c r="P6" s="80">
        <v>0.11</v>
      </c>
      <c r="BE6" t="s">
        <v>530</v>
      </c>
      <c r="BF6">
        <v>5</v>
      </c>
      <c r="BJ6" t="s">
        <v>103</v>
      </c>
      <c r="BK6">
        <v>12</v>
      </c>
    </row>
    <row r="7" spans="1:63" ht="15.5">
      <c r="A7" s="1"/>
      <c r="B7" s="77" t="s">
        <v>233</v>
      </c>
      <c r="C7" s="78">
        <v>2000000</v>
      </c>
      <c r="D7" s="1"/>
      <c r="E7" s="1"/>
      <c r="F7" s="1"/>
      <c r="G7" s="1"/>
      <c r="H7" s="1"/>
      <c r="I7" s="1"/>
      <c r="J7" s="1"/>
      <c r="K7" s="1"/>
      <c r="BF7" s="78"/>
    </row>
    <row r="8" spans="1:63" ht="15.5">
      <c r="A8" s="1"/>
      <c r="B8" s="77" t="s">
        <v>234</v>
      </c>
      <c r="C8" s="79">
        <v>5</v>
      </c>
      <c r="D8" s="1"/>
      <c r="E8" s="1"/>
      <c r="F8" s="1"/>
      <c r="G8" s="1"/>
      <c r="H8" s="1"/>
      <c r="I8" s="1"/>
      <c r="J8" s="1"/>
      <c r="K8" s="1"/>
      <c r="BE8" s="77" t="s">
        <v>512</v>
      </c>
      <c r="BF8" t="s">
        <v>528</v>
      </c>
    </row>
    <row r="9" spans="1:63" ht="15.5">
      <c r="A9" s="1"/>
      <c r="B9" s="77" t="s">
        <v>235</v>
      </c>
      <c r="C9" s="79" t="s">
        <v>103</v>
      </c>
      <c r="D9" s="1"/>
      <c r="E9" s="1"/>
      <c r="F9" s="1"/>
      <c r="G9" s="1"/>
      <c r="H9" s="1"/>
      <c r="I9" s="1"/>
      <c r="J9" s="1"/>
      <c r="K9" s="1"/>
      <c r="O9" s="77" t="s">
        <v>548</v>
      </c>
      <c r="P9">
        <f>P6/12</f>
        <v>9.1666666666666667E-3</v>
      </c>
      <c r="R9" t="s">
        <v>554</v>
      </c>
    </row>
    <row r="10" spans="1:63" ht="15.5">
      <c r="A10" s="1"/>
      <c r="B10" s="77" t="s">
        <v>4</v>
      </c>
      <c r="C10" s="80">
        <v>0.11</v>
      </c>
      <c r="D10" s="1"/>
      <c r="E10" s="1"/>
      <c r="F10" s="1"/>
      <c r="G10" s="1"/>
      <c r="H10" s="1"/>
      <c r="I10" s="1"/>
      <c r="J10" s="1"/>
      <c r="K10" s="1"/>
      <c r="O10" s="77" t="s">
        <v>549</v>
      </c>
      <c r="P10">
        <f>P4*12</f>
        <v>60</v>
      </c>
      <c r="BE10" s="77" t="s">
        <v>235</v>
      </c>
      <c r="BF10" s="184" t="s">
        <v>103</v>
      </c>
    </row>
    <row r="11" spans="1:63" ht="15.5">
      <c r="A11" s="1"/>
      <c r="B11" s="188" t="s">
        <v>236</v>
      </c>
      <c r="C11" s="189">
        <v>43485</v>
      </c>
      <c r="D11" s="1"/>
      <c r="E11" s="1"/>
      <c r="F11" s="1"/>
      <c r="G11" s="1"/>
      <c r="H11" s="1"/>
      <c r="I11" s="1"/>
      <c r="J11" s="1"/>
      <c r="K11" s="1"/>
    </row>
    <row r="12" spans="1:63" ht="15.5">
      <c r="A12" s="1"/>
      <c r="B12" s="81"/>
      <c r="C12" s="1"/>
      <c r="D12" s="1"/>
      <c r="E12" s="1"/>
      <c r="F12" s="1"/>
      <c r="G12" s="1"/>
      <c r="H12" s="1"/>
      <c r="I12" s="1"/>
      <c r="J12" s="1"/>
      <c r="K12" s="1"/>
      <c r="O12" t="s">
        <v>550</v>
      </c>
      <c r="P12" s="190">
        <f>-PMT(P9,P10,P3,0,0)</f>
        <v>43484.84614528661</v>
      </c>
    </row>
    <row r="13" spans="1:63" ht="15.5">
      <c r="A13" s="8" t="s">
        <v>67</v>
      </c>
      <c r="B13" s="81"/>
      <c r="C13" s="1"/>
      <c r="D13" s="1"/>
      <c r="E13" s="1"/>
      <c r="F13" s="1"/>
      <c r="G13" s="1"/>
      <c r="H13" s="1"/>
      <c r="I13" s="1"/>
      <c r="J13" s="1"/>
      <c r="K13" s="1"/>
      <c r="R13" s="191" t="s">
        <v>534</v>
      </c>
      <c r="S13" s="191" t="s">
        <v>553</v>
      </c>
      <c r="T13" s="191" t="s">
        <v>557</v>
      </c>
      <c r="U13" s="191" t="s">
        <v>558</v>
      </c>
      <c r="V13" s="191" t="s">
        <v>550</v>
      </c>
      <c r="W13" s="191" t="s">
        <v>525</v>
      </c>
      <c r="X13" s="191" t="s">
        <v>526</v>
      </c>
      <c r="Y13" s="191" t="s">
        <v>556</v>
      </c>
      <c r="Z13" s="191" t="s">
        <v>535</v>
      </c>
      <c r="AD13" t="str">
        <f>R13</f>
        <v>period</v>
      </c>
      <c r="AE13" s="94" t="str">
        <f>Z13</f>
        <v>Bal c/d</v>
      </c>
      <c r="BE13" t="s">
        <v>531</v>
      </c>
      <c r="BF13" s="185">
        <f>IF(BF10=BJ3,BF5/BK3,IF(BF10=BJ4,BF5/BK4,IF(BF10=BJ5,BF5/BK5,IF(BF10=BJ6,BF5/BK6,""))))</f>
        <v>9.1666666666666667E-3</v>
      </c>
      <c r="BI13" t="s">
        <v>536</v>
      </c>
    </row>
    <row r="14" spans="1:63" ht="15.5">
      <c r="A14" s="1" t="s">
        <v>237</v>
      </c>
      <c r="B14" s="81"/>
      <c r="C14" s="1"/>
      <c r="D14" s="1"/>
      <c r="E14" s="1"/>
      <c r="F14" s="1"/>
      <c r="G14" s="1"/>
      <c r="H14" s="1"/>
      <c r="I14" s="1"/>
      <c r="J14" s="1"/>
      <c r="K14" s="1"/>
      <c r="R14" s="191">
        <v>1</v>
      </c>
      <c r="S14" s="192">
        <f>$P$3</f>
        <v>2000000</v>
      </c>
      <c r="T14" s="192"/>
      <c r="U14" s="192">
        <f>S14+T14</f>
        <v>2000000</v>
      </c>
      <c r="V14" s="193">
        <f>$P$12</f>
        <v>43484.84614528661</v>
      </c>
      <c r="W14" s="191">
        <f>$P$9*U14</f>
        <v>18333.333333333332</v>
      </c>
      <c r="X14" s="193">
        <f>V14-W14</f>
        <v>25151.512811953278</v>
      </c>
      <c r="Y14" s="193"/>
      <c r="Z14" s="192">
        <f>U14-X14-Y14</f>
        <v>1974848.4871880468</v>
      </c>
      <c r="AD14">
        <f t="shared" ref="AD14:AD73" si="0">R14</f>
        <v>1</v>
      </c>
      <c r="AE14" s="94">
        <f t="shared" ref="AE14:AE72" si="1">Z14</f>
        <v>1974848.4871880468</v>
      </c>
      <c r="BE14" t="s">
        <v>532</v>
      </c>
      <c r="BF14">
        <f>IF(BF10=BJ3,BF6*BK3,IF(BF10=BJ4,BF6*BK4,IF(BF10=BJ5,BF6*BK5,IF(BF10=BJ6,BF6*BK6," "))))</f>
        <v>60</v>
      </c>
    </row>
    <row r="15" spans="1:63" ht="15.5">
      <c r="A15" s="1" t="s">
        <v>238</v>
      </c>
      <c r="B15" s="81"/>
      <c r="C15" s="1"/>
      <c r="D15" s="1"/>
      <c r="E15" s="1"/>
      <c r="F15" s="1"/>
      <c r="G15" s="1"/>
      <c r="H15" s="1"/>
      <c r="I15" s="1"/>
      <c r="J15" s="1"/>
      <c r="K15" s="1"/>
      <c r="R15" s="191">
        <v>2</v>
      </c>
      <c r="S15" s="192">
        <f>Z14</f>
        <v>1974848.4871880468</v>
      </c>
      <c r="T15" s="192"/>
      <c r="U15" s="192">
        <f t="shared" ref="U15:U73" si="2">S15+T15</f>
        <v>1974848.4871880468</v>
      </c>
      <c r="V15" s="193">
        <f t="shared" ref="V15:V73" si="3">$P$12</f>
        <v>43484.84614528661</v>
      </c>
      <c r="W15" s="191">
        <f t="shared" ref="W15:W73" si="4">$P$9*U15</f>
        <v>18102.777799223761</v>
      </c>
      <c r="X15" s="193">
        <f t="shared" ref="X15:X73" si="5">V15-W15</f>
        <v>25382.06834606285</v>
      </c>
      <c r="Y15" s="193"/>
      <c r="Z15" s="192">
        <f t="shared" ref="Z15:Z73" si="6">U15-X15-Y15</f>
        <v>1949466.4188419839</v>
      </c>
      <c r="AD15">
        <f t="shared" si="0"/>
        <v>2</v>
      </c>
      <c r="AE15" s="94">
        <f t="shared" si="1"/>
        <v>1949466.4188419839</v>
      </c>
    </row>
    <row r="16" spans="1:63" ht="15.5">
      <c r="A16" s="1"/>
      <c r="B16" s="81"/>
      <c r="C16" s="1"/>
      <c r="D16" s="1"/>
      <c r="E16" s="1"/>
      <c r="F16" s="1"/>
      <c r="G16" s="1"/>
      <c r="H16" s="1"/>
      <c r="I16" s="1"/>
      <c r="J16" s="1"/>
      <c r="K16" s="1"/>
      <c r="R16" s="191">
        <v>3</v>
      </c>
      <c r="S16" s="192">
        <f t="shared" ref="S16:S73" si="7">Z15</f>
        <v>1949466.4188419839</v>
      </c>
      <c r="T16" s="192"/>
      <c r="U16" s="192">
        <f t="shared" si="2"/>
        <v>1949466.4188419839</v>
      </c>
      <c r="V16" s="193">
        <f t="shared" si="3"/>
        <v>43484.84614528661</v>
      </c>
      <c r="W16" s="191">
        <f t="shared" si="4"/>
        <v>17870.108839384851</v>
      </c>
      <c r="X16" s="193">
        <f t="shared" si="5"/>
        <v>25614.737305901759</v>
      </c>
      <c r="Y16" s="193"/>
      <c r="Z16" s="192">
        <f t="shared" si="6"/>
        <v>1923851.6815360822</v>
      </c>
      <c r="AD16">
        <f t="shared" si="0"/>
        <v>3</v>
      </c>
      <c r="AE16" s="94">
        <f t="shared" si="1"/>
        <v>1923851.6815360822</v>
      </c>
      <c r="BE16" t="s">
        <v>533</v>
      </c>
      <c r="BF16" s="94">
        <f>-PMT(BF13,BF14,BF4,0,0)</f>
        <v>43484.84614528661</v>
      </c>
    </row>
    <row r="17" spans="1:64" ht="15.5">
      <c r="A17" s="77" t="s">
        <v>239</v>
      </c>
      <c r="B17" s="1"/>
      <c r="C17" s="1"/>
      <c r="D17" s="1"/>
      <c r="E17" s="1"/>
      <c r="F17" s="1"/>
      <c r="G17" s="1"/>
      <c r="H17" s="1"/>
      <c r="I17" s="1"/>
      <c r="J17" s="1"/>
      <c r="K17" s="1"/>
      <c r="R17" s="191">
        <v>4</v>
      </c>
      <c r="S17" s="192">
        <f t="shared" si="7"/>
        <v>1923851.6815360822</v>
      </c>
      <c r="T17" s="192"/>
      <c r="U17" s="192">
        <f t="shared" si="2"/>
        <v>1923851.6815360822</v>
      </c>
      <c r="V17" s="193">
        <f t="shared" si="3"/>
        <v>43484.84614528661</v>
      </c>
      <c r="W17" s="191">
        <f t="shared" si="4"/>
        <v>17635.307080747421</v>
      </c>
      <c r="X17" s="193">
        <f t="shared" si="5"/>
        <v>25849.539064539189</v>
      </c>
      <c r="Y17" s="193"/>
      <c r="Z17" s="192">
        <f t="shared" si="6"/>
        <v>1898002.142471543</v>
      </c>
      <c r="AD17">
        <f t="shared" si="0"/>
        <v>4</v>
      </c>
      <c r="AE17" s="94">
        <f t="shared" si="1"/>
        <v>1898002.142471543</v>
      </c>
    </row>
    <row r="18" spans="1:64" ht="15.5">
      <c r="A18" s="77"/>
      <c r="B18" s="1"/>
      <c r="C18" s="1"/>
      <c r="D18" s="1"/>
      <c r="E18" s="1"/>
      <c r="F18" s="1"/>
      <c r="G18" s="1"/>
      <c r="H18" s="1"/>
      <c r="I18" s="1"/>
      <c r="J18" s="1"/>
      <c r="K18" s="1"/>
      <c r="R18" s="191">
        <v>5</v>
      </c>
      <c r="S18" s="192">
        <f t="shared" si="7"/>
        <v>1898002.142471543</v>
      </c>
      <c r="T18" s="192"/>
      <c r="U18" s="192">
        <f t="shared" si="2"/>
        <v>1898002.142471543</v>
      </c>
      <c r="V18" s="193">
        <f t="shared" si="3"/>
        <v>43484.84614528661</v>
      </c>
      <c r="W18" s="191">
        <f t="shared" si="4"/>
        <v>17398.352972655812</v>
      </c>
      <c r="X18" s="193">
        <f t="shared" si="5"/>
        <v>26086.493172630799</v>
      </c>
      <c r="Y18" s="193"/>
      <c r="Z18" s="192">
        <f t="shared" si="6"/>
        <v>1871915.6492989121</v>
      </c>
      <c r="AD18">
        <f t="shared" si="0"/>
        <v>5</v>
      </c>
      <c r="AE18" s="94">
        <f t="shared" si="1"/>
        <v>1871915.6492989121</v>
      </c>
      <c r="BG18" t="s">
        <v>534</v>
      </c>
      <c r="BH18" t="s">
        <v>450</v>
      </c>
      <c r="BI18" t="s">
        <v>537</v>
      </c>
      <c r="BJ18" t="s">
        <v>538</v>
      </c>
      <c r="BK18" t="s">
        <v>539</v>
      </c>
      <c r="BL18" t="s">
        <v>535</v>
      </c>
    </row>
    <row r="19" spans="1:64" ht="23.5">
      <c r="A19" s="36" t="s">
        <v>56</v>
      </c>
      <c r="B19" s="1"/>
      <c r="C19" s="1"/>
      <c r="D19" s="1"/>
      <c r="E19" s="1"/>
      <c r="F19" s="1"/>
      <c r="G19" s="1"/>
      <c r="H19" s="1"/>
      <c r="I19" s="1"/>
      <c r="J19" s="1"/>
      <c r="K19" s="1"/>
      <c r="R19" s="191">
        <v>6</v>
      </c>
      <c r="S19" s="192">
        <f t="shared" si="7"/>
        <v>1871915.6492989121</v>
      </c>
      <c r="T19" s="192"/>
      <c r="U19" s="192">
        <f t="shared" si="2"/>
        <v>1871915.6492989121</v>
      </c>
      <c r="V19" s="193">
        <f t="shared" si="3"/>
        <v>43484.84614528661</v>
      </c>
      <c r="W19" s="191">
        <f t="shared" si="4"/>
        <v>17159.226785240029</v>
      </c>
      <c r="X19" s="193">
        <f t="shared" si="5"/>
        <v>26325.619360046581</v>
      </c>
      <c r="Y19" s="193"/>
      <c r="Z19" s="192">
        <f t="shared" si="6"/>
        <v>1845590.0299388655</v>
      </c>
      <c r="AD19">
        <f t="shared" si="0"/>
        <v>6</v>
      </c>
      <c r="AE19" s="94">
        <f t="shared" si="1"/>
        <v>1845590.0299388655</v>
      </c>
      <c r="BF19" s="182"/>
      <c r="BG19">
        <v>1</v>
      </c>
      <c r="BH19" s="136">
        <f>BF4</f>
        <v>2000000</v>
      </c>
      <c r="BI19" s="136">
        <f>$BF$16</f>
        <v>43484.84614528661</v>
      </c>
      <c r="BJ19" s="136">
        <f>-IPMT($BF$13,$BG19,$BF$14,$BF$4,0,0)</f>
        <v>18333.333333333332</v>
      </c>
      <c r="BK19" s="136">
        <f>-PPMT($BF$13,$BG19,$BF$14,$BF$4,0,0)</f>
        <v>25151.512811953282</v>
      </c>
      <c r="BL19" s="168">
        <f>BH19-BK19</f>
        <v>1974848.4871880468</v>
      </c>
    </row>
    <row r="20" spans="1:64" ht="15.5">
      <c r="A20" s="1" t="s">
        <v>240</v>
      </c>
      <c r="B20" s="1"/>
      <c r="C20" s="1"/>
      <c r="D20" s="1"/>
      <c r="E20" s="1"/>
      <c r="F20" s="1"/>
      <c r="G20" s="1"/>
      <c r="H20" s="1"/>
      <c r="I20" s="1"/>
      <c r="J20" s="217" t="s">
        <v>140</v>
      </c>
      <c r="K20" s="217"/>
      <c r="R20" s="191">
        <v>7</v>
      </c>
      <c r="S20" s="192">
        <f t="shared" si="7"/>
        <v>1845590.0299388655</v>
      </c>
      <c r="T20" s="192"/>
      <c r="U20" s="192">
        <f t="shared" si="2"/>
        <v>1845590.0299388655</v>
      </c>
      <c r="V20" s="193">
        <f t="shared" si="3"/>
        <v>43484.84614528661</v>
      </c>
      <c r="W20" s="191">
        <f t="shared" si="4"/>
        <v>16917.908607772933</v>
      </c>
      <c r="X20" s="193">
        <f t="shared" si="5"/>
        <v>26566.937537513677</v>
      </c>
      <c r="Y20" s="193"/>
      <c r="Z20" s="192">
        <f t="shared" si="6"/>
        <v>1819023.0924013518</v>
      </c>
      <c r="AD20">
        <f t="shared" si="0"/>
        <v>7</v>
      </c>
      <c r="AE20" s="94">
        <f t="shared" si="1"/>
        <v>1819023.0924013518</v>
      </c>
      <c r="BG20">
        <v>2</v>
      </c>
      <c r="BH20" s="168">
        <f>BL19</f>
        <v>1974848.4871880468</v>
      </c>
      <c r="BI20" s="136">
        <f t="shared" ref="BI20:BI78" si="8">$BF$16</f>
        <v>43484.84614528661</v>
      </c>
      <c r="BJ20" s="136">
        <f t="shared" ref="BJ20:BJ78" si="9">-IPMT($BF$13,$BG20,$BF$14,$BF$4,0,0)</f>
        <v>18102.777799223757</v>
      </c>
      <c r="BK20" s="136">
        <f t="shared" ref="BK20:BK78" si="10">-PPMT($BF$13,$BG20,$BF$14,$BF$4,0,0)</f>
        <v>25382.06834606285</v>
      </c>
      <c r="BL20" s="168">
        <f t="shared" ref="BL20:BL78" si="11">BH20-BK20</f>
        <v>1949466.4188419839</v>
      </c>
    </row>
    <row r="21" spans="1:64" ht="15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R21" s="191">
        <v>8</v>
      </c>
      <c r="S21" s="192">
        <f t="shared" si="7"/>
        <v>1819023.0924013518</v>
      </c>
      <c r="T21" s="192"/>
      <c r="U21" s="192">
        <f t="shared" si="2"/>
        <v>1819023.0924013518</v>
      </c>
      <c r="V21" s="193">
        <f t="shared" si="3"/>
        <v>43484.84614528661</v>
      </c>
      <c r="W21" s="191">
        <f t="shared" si="4"/>
        <v>16674.378347012393</v>
      </c>
      <c r="X21" s="193">
        <f t="shared" si="5"/>
        <v>26810.467798274218</v>
      </c>
      <c r="Y21" s="193"/>
      <c r="Z21" s="192">
        <f t="shared" si="6"/>
        <v>1792212.6246030775</v>
      </c>
      <c r="AD21">
        <f t="shared" si="0"/>
        <v>8</v>
      </c>
      <c r="AE21" s="94">
        <f t="shared" si="1"/>
        <v>1792212.6246030775</v>
      </c>
      <c r="BG21">
        <v>3</v>
      </c>
      <c r="BH21" s="168">
        <f>BL20</f>
        <v>1949466.4188419839</v>
      </c>
      <c r="BI21" s="136">
        <f t="shared" si="8"/>
        <v>43484.84614528661</v>
      </c>
      <c r="BJ21" s="136">
        <f t="shared" si="9"/>
        <v>17870.108839384851</v>
      </c>
      <c r="BK21" s="136">
        <f t="shared" si="10"/>
        <v>25614.737305901763</v>
      </c>
      <c r="BL21" s="168">
        <f t="shared" si="11"/>
        <v>1923851.6815360822</v>
      </c>
    </row>
    <row r="22" spans="1:64" ht="15.5">
      <c r="A22" s="1" t="s">
        <v>241</v>
      </c>
      <c r="B22" s="1"/>
      <c r="C22" s="1"/>
      <c r="D22" s="1"/>
      <c r="E22" s="1"/>
      <c r="F22" s="1"/>
      <c r="G22" s="1"/>
      <c r="H22" s="1"/>
      <c r="I22" s="1"/>
      <c r="J22" s="217" t="s">
        <v>242</v>
      </c>
      <c r="K22" s="217"/>
      <c r="R22" s="191">
        <v>9</v>
      </c>
      <c r="S22" s="192">
        <f t="shared" si="7"/>
        <v>1792212.6246030775</v>
      </c>
      <c r="T22" s="192"/>
      <c r="U22" s="192">
        <f t="shared" si="2"/>
        <v>1792212.6246030775</v>
      </c>
      <c r="V22" s="193">
        <f t="shared" si="3"/>
        <v>43484.84614528661</v>
      </c>
      <c r="W22" s="191">
        <f t="shared" si="4"/>
        <v>16428.615725528212</v>
      </c>
      <c r="X22" s="193">
        <f t="shared" si="5"/>
        <v>27056.230419758398</v>
      </c>
      <c r="Y22" s="193"/>
      <c r="Z22" s="192">
        <f t="shared" si="6"/>
        <v>1765156.3941833191</v>
      </c>
      <c r="AD22">
        <f t="shared" si="0"/>
        <v>9</v>
      </c>
      <c r="AE22" s="94">
        <f t="shared" si="1"/>
        <v>1765156.3941833191</v>
      </c>
      <c r="BF22" s="183"/>
      <c r="BG22">
        <v>4</v>
      </c>
      <c r="BH22" s="168">
        <f t="shared" ref="BH22:BH78" si="12">BL21</f>
        <v>1923851.6815360822</v>
      </c>
      <c r="BI22" s="136">
        <f t="shared" si="8"/>
        <v>43484.84614528661</v>
      </c>
      <c r="BJ22" s="136">
        <f t="shared" si="9"/>
        <v>17635.307080747418</v>
      </c>
      <c r="BK22" s="136">
        <f t="shared" si="10"/>
        <v>25849.539064539196</v>
      </c>
      <c r="BL22" s="168">
        <f t="shared" si="11"/>
        <v>1898002.142471543</v>
      </c>
    </row>
    <row r="23" spans="1:64" ht="15.5">
      <c r="A23" s="1" t="s">
        <v>243</v>
      </c>
      <c r="B23" s="1"/>
      <c r="C23" s="1"/>
      <c r="D23" s="1"/>
      <c r="E23" s="1"/>
      <c r="F23" s="1"/>
      <c r="G23" s="1"/>
      <c r="H23" s="1"/>
      <c r="I23" s="1"/>
      <c r="J23" s="1"/>
      <c r="K23" s="1"/>
      <c r="R23" s="191">
        <v>10</v>
      </c>
      <c r="S23" s="192">
        <f t="shared" si="7"/>
        <v>1765156.3941833191</v>
      </c>
      <c r="T23" s="192"/>
      <c r="U23" s="192">
        <f t="shared" si="2"/>
        <v>1765156.3941833191</v>
      </c>
      <c r="V23" s="193">
        <f t="shared" si="3"/>
        <v>43484.84614528661</v>
      </c>
      <c r="W23" s="191">
        <f t="shared" si="4"/>
        <v>16180.600280013758</v>
      </c>
      <c r="X23" s="193">
        <f t="shared" si="5"/>
        <v>27304.245865272853</v>
      </c>
      <c r="Y23" s="193"/>
      <c r="Z23" s="192">
        <f t="shared" si="6"/>
        <v>1737852.1483180462</v>
      </c>
      <c r="AD23">
        <f t="shared" si="0"/>
        <v>10</v>
      </c>
      <c r="AE23" s="94">
        <f t="shared" si="1"/>
        <v>1737852.1483180462</v>
      </c>
      <c r="BG23">
        <v>5</v>
      </c>
      <c r="BH23" s="168">
        <f t="shared" si="12"/>
        <v>1898002.142471543</v>
      </c>
      <c r="BI23" s="136">
        <f t="shared" si="8"/>
        <v>43484.84614528661</v>
      </c>
      <c r="BJ23" s="136">
        <f t="shared" si="9"/>
        <v>17398.352972655808</v>
      </c>
      <c r="BK23" s="136">
        <f t="shared" si="10"/>
        <v>26086.49317263081</v>
      </c>
      <c r="BL23" s="168">
        <f t="shared" si="11"/>
        <v>1871915.6492989121</v>
      </c>
    </row>
    <row r="24" spans="1:64" ht="23.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R24" s="191">
        <v>11</v>
      </c>
      <c r="S24" s="192">
        <f t="shared" si="7"/>
        <v>1737852.1483180462</v>
      </c>
      <c r="T24" s="192"/>
      <c r="U24" s="192">
        <f t="shared" si="2"/>
        <v>1737852.1483180462</v>
      </c>
      <c r="V24" s="193">
        <f t="shared" si="3"/>
        <v>43484.84614528661</v>
      </c>
      <c r="W24" s="191">
        <f t="shared" si="4"/>
        <v>15930.311359582091</v>
      </c>
      <c r="X24" s="193">
        <f t="shared" si="5"/>
        <v>27554.53478570452</v>
      </c>
      <c r="Y24" s="193"/>
      <c r="Z24" s="192">
        <f t="shared" si="6"/>
        <v>1710297.6135323418</v>
      </c>
      <c r="AD24">
        <f t="shared" si="0"/>
        <v>11</v>
      </c>
      <c r="AE24" s="94">
        <f t="shared" si="1"/>
        <v>1710297.6135323418</v>
      </c>
      <c r="BF24" s="182"/>
      <c r="BG24">
        <v>6</v>
      </c>
      <c r="BH24" s="168">
        <f t="shared" si="12"/>
        <v>1871915.6492989121</v>
      </c>
      <c r="BI24" s="136">
        <f t="shared" si="8"/>
        <v>43484.84614528661</v>
      </c>
      <c r="BJ24" s="136">
        <f t="shared" si="9"/>
        <v>17159.226785240025</v>
      </c>
      <c r="BK24" s="136">
        <f t="shared" si="10"/>
        <v>26325.619360046592</v>
      </c>
      <c r="BL24" s="168">
        <f t="shared" si="11"/>
        <v>1845590.0299388655</v>
      </c>
    </row>
    <row r="25" spans="1:64" ht="15.5">
      <c r="A25" s="1" t="s">
        <v>244</v>
      </c>
      <c r="B25" s="1"/>
      <c r="C25" s="1"/>
      <c r="D25" s="1"/>
      <c r="E25" s="1"/>
      <c r="F25" s="1"/>
      <c r="G25" s="1"/>
      <c r="H25" s="1"/>
      <c r="I25" s="1"/>
      <c r="J25" s="1"/>
      <c r="K25" s="1"/>
      <c r="R25" s="191">
        <v>12</v>
      </c>
      <c r="S25" s="192">
        <f t="shared" si="7"/>
        <v>1710297.6135323418</v>
      </c>
      <c r="T25" s="192"/>
      <c r="U25" s="192">
        <f t="shared" si="2"/>
        <v>1710297.6135323418</v>
      </c>
      <c r="V25" s="193">
        <f t="shared" si="3"/>
        <v>43484.84614528661</v>
      </c>
      <c r="W25" s="191">
        <f t="shared" si="4"/>
        <v>15677.728124046467</v>
      </c>
      <c r="X25" s="193">
        <f t="shared" si="5"/>
        <v>27807.118021240145</v>
      </c>
      <c r="Y25" s="193"/>
      <c r="Z25" s="192">
        <f t="shared" si="6"/>
        <v>1682490.4955111016</v>
      </c>
      <c r="AD25">
        <f t="shared" si="0"/>
        <v>12</v>
      </c>
      <c r="AE25" s="94">
        <f t="shared" si="1"/>
        <v>1682490.4955111016</v>
      </c>
      <c r="BG25">
        <v>7</v>
      </c>
      <c r="BH25" s="168">
        <f t="shared" si="12"/>
        <v>1845590.0299388655</v>
      </c>
      <c r="BI25" s="136">
        <f t="shared" si="8"/>
        <v>43484.84614528661</v>
      </c>
      <c r="BJ25" s="136">
        <f t="shared" si="9"/>
        <v>16917.90860777293</v>
      </c>
      <c r="BK25" s="136">
        <f t="shared" si="10"/>
        <v>26566.937537513681</v>
      </c>
      <c r="BL25" s="168">
        <f t="shared" si="11"/>
        <v>1819023.0924013518</v>
      </c>
    </row>
    <row r="26" spans="1:64" ht="15.5">
      <c r="A26" s="1" t="s">
        <v>245</v>
      </c>
      <c r="B26" s="1"/>
      <c r="C26" s="1"/>
      <c r="D26" s="1"/>
      <c r="E26" s="1"/>
      <c r="F26" s="1"/>
      <c r="G26" s="1"/>
      <c r="H26" s="1"/>
      <c r="I26" s="1"/>
      <c r="J26" s="1"/>
      <c r="K26" s="1"/>
      <c r="R26" s="191">
        <v>13</v>
      </c>
      <c r="S26" s="192">
        <f t="shared" si="7"/>
        <v>1682490.4955111016</v>
      </c>
      <c r="T26" s="192"/>
      <c r="U26" s="192">
        <f t="shared" si="2"/>
        <v>1682490.4955111016</v>
      </c>
      <c r="V26" s="193">
        <f t="shared" si="3"/>
        <v>43484.84614528661</v>
      </c>
      <c r="W26" s="191">
        <f t="shared" si="4"/>
        <v>15422.829542185098</v>
      </c>
      <c r="X26" s="193">
        <f t="shared" si="5"/>
        <v>28062.016603101511</v>
      </c>
      <c r="Y26" s="193"/>
      <c r="Z26" s="192">
        <f t="shared" si="6"/>
        <v>1654428.478908</v>
      </c>
      <c r="AD26">
        <f t="shared" si="0"/>
        <v>13</v>
      </c>
      <c r="AE26" s="94">
        <f t="shared" si="1"/>
        <v>1654428.478908</v>
      </c>
      <c r="BG26">
        <v>8</v>
      </c>
      <c r="BH26" s="168">
        <f t="shared" si="12"/>
        <v>1819023.0924013518</v>
      </c>
      <c r="BI26" s="136">
        <f t="shared" si="8"/>
        <v>43484.84614528661</v>
      </c>
      <c r="BJ26" s="136">
        <f t="shared" si="9"/>
        <v>16674.378347012385</v>
      </c>
      <c r="BK26" s="136">
        <f t="shared" si="10"/>
        <v>26810.467798274225</v>
      </c>
      <c r="BL26" s="168">
        <f t="shared" si="11"/>
        <v>1792212.6246030775</v>
      </c>
    </row>
    <row r="27" spans="1:64" ht="15.5">
      <c r="A27" s="1" t="s">
        <v>246</v>
      </c>
      <c r="B27" s="1"/>
      <c r="C27" s="1"/>
      <c r="D27" s="1"/>
      <c r="E27" s="1"/>
      <c r="F27" s="1"/>
      <c r="G27" s="1"/>
      <c r="H27" s="1"/>
      <c r="I27" s="1"/>
      <c r="J27" s="1"/>
      <c r="K27" s="1"/>
      <c r="R27" s="191">
        <v>14</v>
      </c>
      <c r="S27" s="192">
        <f t="shared" si="7"/>
        <v>1654428.478908</v>
      </c>
      <c r="T27" s="192"/>
      <c r="U27" s="192">
        <f t="shared" si="2"/>
        <v>1654428.478908</v>
      </c>
      <c r="V27" s="193">
        <f t="shared" si="3"/>
        <v>43484.84614528661</v>
      </c>
      <c r="W27" s="191">
        <f t="shared" si="4"/>
        <v>15165.594389990001</v>
      </c>
      <c r="X27" s="193">
        <f t="shared" si="5"/>
        <v>28319.251755296609</v>
      </c>
      <c r="Y27" s="193"/>
      <c r="Z27" s="192">
        <f t="shared" si="6"/>
        <v>1626109.2271527033</v>
      </c>
      <c r="AD27">
        <f t="shared" si="0"/>
        <v>14</v>
      </c>
      <c r="AE27" s="94">
        <f t="shared" si="1"/>
        <v>1626109.2271527033</v>
      </c>
      <c r="BG27">
        <v>9</v>
      </c>
      <c r="BH27" s="168">
        <f t="shared" si="12"/>
        <v>1792212.6246030775</v>
      </c>
      <c r="BI27" s="136">
        <f t="shared" si="8"/>
        <v>43484.84614528661</v>
      </c>
      <c r="BJ27" s="136">
        <f t="shared" si="9"/>
        <v>16428.615725528209</v>
      </c>
      <c r="BK27" s="136">
        <f t="shared" si="10"/>
        <v>27056.230419758405</v>
      </c>
      <c r="BL27" s="168">
        <f t="shared" si="11"/>
        <v>1765156.3941833191</v>
      </c>
    </row>
    <row r="28" spans="1:64" ht="15.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R28" s="191">
        <v>15</v>
      </c>
      <c r="S28" s="192">
        <f t="shared" si="7"/>
        <v>1626109.2271527033</v>
      </c>
      <c r="T28" s="192"/>
      <c r="U28" s="192">
        <f t="shared" si="2"/>
        <v>1626109.2271527033</v>
      </c>
      <c r="V28" s="193">
        <f t="shared" si="3"/>
        <v>43484.84614528661</v>
      </c>
      <c r="W28" s="191">
        <f t="shared" si="4"/>
        <v>14906.00124889978</v>
      </c>
      <c r="X28" s="193">
        <f t="shared" si="5"/>
        <v>28578.844896386829</v>
      </c>
      <c r="Y28" s="193"/>
      <c r="Z28" s="192">
        <f t="shared" si="6"/>
        <v>1597530.3822563165</v>
      </c>
      <c r="AD28">
        <f t="shared" si="0"/>
        <v>15</v>
      </c>
      <c r="AE28" s="94">
        <f t="shared" si="1"/>
        <v>1597530.3822563165</v>
      </c>
      <c r="BG28">
        <v>10</v>
      </c>
      <c r="BH28" s="168">
        <f t="shared" si="12"/>
        <v>1765156.3941833191</v>
      </c>
      <c r="BI28" s="136">
        <f t="shared" si="8"/>
        <v>43484.84614528661</v>
      </c>
      <c r="BJ28" s="136">
        <f t="shared" si="9"/>
        <v>16180.600280013756</v>
      </c>
      <c r="BK28" s="136">
        <f t="shared" si="10"/>
        <v>27304.245865272856</v>
      </c>
      <c r="BL28" s="168">
        <f t="shared" si="11"/>
        <v>1737852.1483180462</v>
      </c>
    </row>
    <row r="29" spans="1:64" ht="15.5">
      <c r="A29" s="1"/>
      <c r="B29" s="82" t="s">
        <v>247</v>
      </c>
      <c r="C29" s="83" t="s">
        <v>248</v>
      </c>
      <c r="D29" s="83" t="s">
        <v>249</v>
      </c>
      <c r="E29" s="84" t="s">
        <v>250</v>
      </c>
      <c r="F29" s="84" t="s">
        <v>251</v>
      </c>
      <c r="G29" s="82" t="s">
        <v>555</v>
      </c>
      <c r="H29" s="1"/>
      <c r="I29" s="1"/>
      <c r="J29" s="1"/>
      <c r="K29" s="1"/>
      <c r="R29" s="191">
        <v>16</v>
      </c>
      <c r="S29" s="192">
        <f t="shared" si="7"/>
        <v>1597530.3822563165</v>
      </c>
      <c r="T29" s="192"/>
      <c r="U29" s="192">
        <f t="shared" si="2"/>
        <v>1597530.3822563165</v>
      </c>
      <c r="V29" s="193">
        <f t="shared" si="3"/>
        <v>43484.84614528661</v>
      </c>
      <c r="W29" s="191">
        <f t="shared" si="4"/>
        <v>14644.028504016234</v>
      </c>
      <c r="X29" s="193">
        <f t="shared" si="5"/>
        <v>28840.817641270376</v>
      </c>
      <c r="Y29" s="193"/>
      <c r="Z29" s="192">
        <f t="shared" si="6"/>
        <v>1568689.5646150461</v>
      </c>
      <c r="AD29">
        <f t="shared" si="0"/>
        <v>16</v>
      </c>
      <c r="AE29" s="94">
        <f t="shared" si="1"/>
        <v>1568689.5646150461</v>
      </c>
      <c r="BG29">
        <v>11</v>
      </c>
      <c r="BH29" s="168">
        <f t="shared" si="12"/>
        <v>1737852.1483180462</v>
      </c>
      <c r="BI29" s="136">
        <f t="shared" si="8"/>
        <v>43484.84614528661</v>
      </c>
      <c r="BJ29" s="136">
        <f t="shared" si="9"/>
        <v>15930.311359582089</v>
      </c>
      <c r="BK29" s="136">
        <f t="shared" si="10"/>
        <v>27554.534785704527</v>
      </c>
      <c r="BL29" s="168">
        <f t="shared" si="11"/>
        <v>1710297.6135323418</v>
      </c>
    </row>
    <row r="30" spans="1:64" ht="15.5">
      <c r="A30" s="1"/>
      <c r="B30" s="82" t="s">
        <v>233</v>
      </c>
      <c r="C30" s="85">
        <v>2000000</v>
      </c>
      <c r="D30" s="85">
        <v>2000000</v>
      </c>
      <c r="E30" s="85">
        <v>2000000</v>
      </c>
      <c r="F30" s="194">
        <v>1609756.1841687094</v>
      </c>
      <c r="G30" s="85">
        <v>2000000</v>
      </c>
      <c r="H30" s="1"/>
      <c r="I30" s="1"/>
      <c r="J30" s="1"/>
      <c r="K30" s="1"/>
      <c r="R30" s="191">
        <v>17</v>
      </c>
      <c r="S30" s="192">
        <f t="shared" si="7"/>
        <v>1568689.5646150461</v>
      </c>
      <c r="T30" s="192"/>
      <c r="U30" s="192">
        <f t="shared" si="2"/>
        <v>1568689.5646150461</v>
      </c>
      <c r="V30" s="193">
        <f t="shared" si="3"/>
        <v>43484.84614528661</v>
      </c>
      <c r="W30" s="191">
        <f t="shared" si="4"/>
        <v>14379.65434230459</v>
      </c>
      <c r="X30" s="193">
        <f t="shared" si="5"/>
        <v>29105.191802982023</v>
      </c>
      <c r="Y30" s="193"/>
      <c r="Z30" s="192">
        <f t="shared" si="6"/>
        <v>1539584.3728120641</v>
      </c>
      <c r="AD30">
        <f t="shared" si="0"/>
        <v>17</v>
      </c>
      <c r="AE30" s="94">
        <f t="shared" si="1"/>
        <v>1539584.3728120641</v>
      </c>
      <c r="BG30">
        <v>12</v>
      </c>
      <c r="BH30" s="168">
        <f t="shared" si="12"/>
        <v>1710297.6135323418</v>
      </c>
      <c r="BI30" s="136">
        <f t="shared" si="8"/>
        <v>43484.84614528661</v>
      </c>
      <c r="BJ30" s="136">
        <f t="shared" si="9"/>
        <v>15677.728124046467</v>
      </c>
      <c r="BK30" s="136">
        <f t="shared" si="10"/>
        <v>27807.118021240149</v>
      </c>
      <c r="BL30" s="168">
        <f t="shared" si="11"/>
        <v>1682490.4955111016</v>
      </c>
    </row>
    <row r="31" spans="1:64" ht="15.5">
      <c r="A31" s="1"/>
      <c r="B31" s="82" t="s">
        <v>252</v>
      </c>
      <c r="C31" s="82">
        <v>60</v>
      </c>
      <c r="D31" s="82">
        <v>60</v>
      </c>
      <c r="E31" s="195">
        <v>81.309023771242153</v>
      </c>
      <c r="F31" s="82">
        <v>60</v>
      </c>
      <c r="G31" s="82">
        <v>60</v>
      </c>
      <c r="H31" s="1"/>
      <c r="I31" s="1"/>
      <c r="J31" s="1"/>
      <c r="K31" s="1"/>
      <c r="R31" s="191">
        <v>18</v>
      </c>
      <c r="S31" s="192">
        <f t="shared" si="7"/>
        <v>1539584.3728120641</v>
      </c>
      <c r="T31" s="192"/>
      <c r="U31" s="192">
        <f t="shared" si="2"/>
        <v>1539584.3728120641</v>
      </c>
      <c r="V31" s="193">
        <f t="shared" si="3"/>
        <v>43484.84614528661</v>
      </c>
      <c r="W31" s="191">
        <f t="shared" si="4"/>
        <v>14112.856750777255</v>
      </c>
      <c r="X31" s="193">
        <f t="shared" si="5"/>
        <v>29371.989394509357</v>
      </c>
      <c r="Y31" s="193"/>
      <c r="Z31" s="192">
        <f t="shared" si="6"/>
        <v>1510212.3834175547</v>
      </c>
      <c r="AD31">
        <f t="shared" si="0"/>
        <v>18</v>
      </c>
      <c r="AE31" s="94">
        <f t="shared" si="1"/>
        <v>1510212.3834175547</v>
      </c>
      <c r="BG31">
        <v>13</v>
      </c>
      <c r="BH31" s="168">
        <f t="shared" si="12"/>
        <v>1682490.4955111016</v>
      </c>
      <c r="BI31" s="136">
        <f t="shared" si="8"/>
        <v>43484.84614528661</v>
      </c>
      <c r="BJ31" s="136">
        <f t="shared" si="9"/>
        <v>15422.829542185093</v>
      </c>
      <c r="BK31" s="136">
        <f t="shared" si="10"/>
        <v>28062.016603101518</v>
      </c>
      <c r="BL31" s="168">
        <f t="shared" si="11"/>
        <v>1654428.478908</v>
      </c>
    </row>
    <row r="32" spans="1:64" ht="15.5">
      <c r="A32" s="1"/>
      <c r="B32" s="82" t="s">
        <v>4</v>
      </c>
      <c r="C32" s="86">
        <v>0.11</v>
      </c>
      <c r="D32" s="86">
        <v>0.11</v>
      </c>
      <c r="E32" s="86">
        <v>0.11</v>
      </c>
      <c r="F32" s="86">
        <v>0.11</v>
      </c>
      <c r="G32" s="196">
        <v>1.9365130522303549E-2</v>
      </c>
      <c r="H32" s="1"/>
      <c r="I32" s="1"/>
      <c r="J32" s="1"/>
      <c r="K32" s="1"/>
      <c r="R32" s="191">
        <v>19</v>
      </c>
      <c r="S32" s="192">
        <f t="shared" si="7"/>
        <v>1510212.3834175547</v>
      </c>
      <c r="T32" s="192"/>
      <c r="U32" s="192">
        <f t="shared" si="2"/>
        <v>1510212.3834175547</v>
      </c>
      <c r="V32" s="193">
        <f t="shared" si="3"/>
        <v>43484.84614528661</v>
      </c>
      <c r="W32" s="191">
        <f t="shared" si="4"/>
        <v>13843.613514660918</v>
      </c>
      <c r="X32" s="193">
        <f t="shared" si="5"/>
        <v>29641.232630625695</v>
      </c>
      <c r="Y32" s="193"/>
      <c r="Z32" s="192">
        <f t="shared" si="6"/>
        <v>1480571.1507869291</v>
      </c>
      <c r="AD32">
        <f t="shared" si="0"/>
        <v>19</v>
      </c>
      <c r="AE32" s="94">
        <f t="shared" si="1"/>
        <v>1480571.1507869291</v>
      </c>
      <c r="BG32">
        <v>14</v>
      </c>
      <c r="BH32" s="168">
        <f t="shared" si="12"/>
        <v>1654428.478908</v>
      </c>
      <c r="BI32" s="136">
        <f t="shared" si="8"/>
        <v>43484.84614528661</v>
      </c>
      <c r="BJ32" s="136">
        <f t="shared" si="9"/>
        <v>15165.594389989998</v>
      </c>
      <c r="BK32" s="136">
        <f t="shared" si="10"/>
        <v>28319.251755296616</v>
      </c>
      <c r="BL32" s="168">
        <f t="shared" si="11"/>
        <v>1626109.2271527033</v>
      </c>
    </row>
    <row r="33" spans="1:64" ht="15.5">
      <c r="A33" s="1"/>
      <c r="B33" s="82" t="s">
        <v>253</v>
      </c>
      <c r="C33" s="85">
        <f>-PMT(C32/12,C31,C30,0,0)</f>
        <v>43484.84614528661</v>
      </c>
      <c r="D33" s="85">
        <f t="shared" ref="D33:G33" si="13">-PMT(D32/12,D31,D30,0,0)</f>
        <v>43484.84614528661</v>
      </c>
      <c r="E33" s="85">
        <f t="shared" si="13"/>
        <v>35000.000043872358</v>
      </c>
      <c r="F33" s="85">
        <f t="shared" si="13"/>
        <v>35000</v>
      </c>
      <c r="G33" s="85">
        <f t="shared" si="13"/>
        <v>35000.000189507802</v>
      </c>
      <c r="H33" s="1"/>
      <c r="I33" s="1"/>
      <c r="J33" s="1"/>
      <c r="K33" s="1"/>
      <c r="R33" s="191">
        <v>20</v>
      </c>
      <c r="S33" s="192">
        <f t="shared" si="7"/>
        <v>1480571.1507869291</v>
      </c>
      <c r="T33" s="192"/>
      <c r="U33" s="192">
        <f t="shared" si="2"/>
        <v>1480571.1507869291</v>
      </c>
      <c r="V33" s="193">
        <f t="shared" si="3"/>
        <v>43484.84614528661</v>
      </c>
      <c r="W33" s="191">
        <f t="shared" si="4"/>
        <v>13571.90221554685</v>
      </c>
      <c r="X33" s="193">
        <f t="shared" si="5"/>
        <v>29912.943929739762</v>
      </c>
      <c r="Y33" s="193"/>
      <c r="Z33" s="192">
        <f t="shared" si="6"/>
        <v>1450658.2068571893</v>
      </c>
      <c r="AD33">
        <f t="shared" si="0"/>
        <v>20</v>
      </c>
      <c r="AE33" s="94">
        <f t="shared" si="1"/>
        <v>1450658.2068571893</v>
      </c>
      <c r="BG33">
        <v>15</v>
      </c>
      <c r="BH33" s="168">
        <f t="shared" si="12"/>
        <v>1626109.2271527033</v>
      </c>
      <c r="BI33" s="136">
        <f t="shared" si="8"/>
        <v>43484.84614528661</v>
      </c>
      <c r="BJ33" s="136">
        <f t="shared" si="9"/>
        <v>14906.001248899778</v>
      </c>
      <c r="BK33" s="136">
        <f t="shared" si="10"/>
        <v>28578.844896386832</v>
      </c>
      <c r="BL33" s="168">
        <f t="shared" si="11"/>
        <v>1597530.3822563165</v>
      </c>
    </row>
    <row r="34" spans="1:64" ht="15.5">
      <c r="A34" s="1"/>
      <c r="B34" s="1"/>
      <c r="C34" s="1"/>
      <c r="D34" s="1"/>
      <c r="E34" s="1">
        <v>35000</v>
      </c>
      <c r="F34" s="1">
        <v>35000</v>
      </c>
      <c r="G34" s="1">
        <v>35000</v>
      </c>
      <c r="H34" s="1"/>
      <c r="I34" s="1"/>
      <c r="J34" s="1"/>
      <c r="K34" s="1"/>
      <c r="R34" s="191">
        <v>21</v>
      </c>
      <c r="S34" s="192">
        <f t="shared" si="7"/>
        <v>1450658.2068571893</v>
      </c>
      <c r="T34" s="192"/>
      <c r="U34" s="192">
        <f t="shared" si="2"/>
        <v>1450658.2068571893</v>
      </c>
      <c r="V34" s="193">
        <f t="shared" si="3"/>
        <v>43484.84614528661</v>
      </c>
      <c r="W34" s="191">
        <f t="shared" si="4"/>
        <v>13297.700229524235</v>
      </c>
      <c r="X34" s="193">
        <f t="shared" si="5"/>
        <v>30187.145915762376</v>
      </c>
      <c r="Y34" s="193"/>
      <c r="Z34" s="192">
        <f t="shared" si="6"/>
        <v>1420471.060941427</v>
      </c>
      <c r="AD34">
        <f t="shared" si="0"/>
        <v>21</v>
      </c>
      <c r="AE34" s="94">
        <f t="shared" si="1"/>
        <v>1420471.060941427</v>
      </c>
      <c r="BG34">
        <v>16</v>
      </c>
      <c r="BH34" s="168">
        <f t="shared" si="12"/>
        <v>1597530.3822563165</v>
      </c>
      <c r="BI34" s="136">
        <f t="shared" si="8"/>
        <v>43484.84614528661</v>
      </c>
      <c r="BJ34" s="136">
        <f t="shared" si="9"/>
        <v>14644.028504016233</v>
      </c>
      <c r="BK34" s="136">
        <f t="shared" si="10"/>
        <v>28840.81764127038</v>
      </c>
      <c r="BL34" s="168">
        <f t="shared" si="11"/>
        <v>1568689.5646150461</v>
      </c>
    </row>
    <row r="35" spans="1:64" ht="15.5">
      <c r="A35" s="1"/>
      <c r="B35" s="1"/>
      <c r="C35" s="87"/>
      <c r="D35" s="87"/>
      <c r="E35" s="62"/>
      <c r="F35" s="62"/>
      <c r="G35" s="1"/>
      <c r="H35" s="1"/>
      <c r="I35" s="1"/>
      <c r="J35" s="1"/>
      <c r="K35" s="1"/>
      <c r="R35" s="191">
        <v>22</v>
      </c>
      <c r="S35" s="192">
        <f t="shared" si="7"/>
        <v>1420471.060941427</v>
      </c>
      <c r="T35" s="192"/>
      <c r="U35" s="192">
        <f t="shared" si="2"/>
        <v>1420471.060941427</v>
      </c>
      <c r="V35" s="193">
        <f t="shared" si="3"/>
        <v>43484.84614528661</v>
      </c>
      <c r="W35" s="191">
        <f t="shared" si="4"/>
        <v>13020.984725296414</v>
      </c>
      <c r="X35" s="193">
        <f t="shared" si="5"/>
        <v>30463.861419990197</v>
      </c>
      <c r="Y35" s="193"/>
      <c r="Z35" s="192">
        <f t="shared" si="6"/>
        <v>1390007.1995214368</v>
      </c>
      <c r="AD35">
        <f t="shared" si="0"/>
        <v>22</v>
      </c>
      <c r="AE35" s="94">
        <f t="shared" si="1"/>
        <v>1390007.1995214368</v>
      </c>
      <c r="BG35">
        <v>17</v>
      </c>
      <c r="BH35" s="168">
        <f t="shared" si="12"/>
        <v>1568689.5646150461</v>
      </c>
      <c r="BI35" s="136">
        <f t="shared" si="8"/>
        <v>43484.84614528661</v>
      </c>
      <c r="BJ35" s="136">
        <f t="shared" si="9"/>
        <v>14379.65434230459</v>
      </c>
      <c r="BK35" s="136">
        <f t="shared" si="10"/>
        <v>29105.19180298203</v>
      </c>
      <c r="BL35" s="168">
        <f t="shared" si="11"/>
        <v>1539584.3728120641</v>
      </c>
    </row>
    <row r="36" spans="1:64" ht="15.5">
      <c r="A36" s="1"/>
      <c r="B36" s="1"/>
      <c r="C36" s="88"/>
      <c r="D36" s="88"/>
      <c r="E36" s="1"/>
      <c r="F36" s="1"/>
      <c r="G36" s="1"/>
      <c r="H36" s="1"/>
      <c r="I36" s="1"/>
      <c r="J36" s="1"/>
      <c r="K36" s="1"/>
      <c r="R36" s="191">
        <v>23</v>
      </c>
      <c r="S36" s="192">
        <f t="shared" si="7"/>
        <v>1390007.1995214368</v>
      </c>
      <c r="T36" s="192"/>
      <c r="U36" s="192">
        <f t="shared" si="2"/>
        <v>1390007.1995214368</v>
      </c>
      <c r="V36" s="193">
        <f t="shared" si="3"/>
        <v>43484.84614528661</v>
      </c>
      <c r="W36" s="191">
        <f t="shared" si="4"/>
        <v>12741.732662279837</v>
      </c>
      <c r="X36" s="193">
        <f t="shared" si="5"/>
        <v>30743.113483006775</v>
      </c>
      <c r="Y36" s="193"/>
      <c r="Z36" s="192">
        <f t="shared" si="6"/>
        <v>1359264.08603843</v>
      </c>
      <c r="AD36">
        <f t="shared" si="0"/>
        <v>23</v>
      </c>
      <c r="AE36" s="94">
        <f t="shared" si="1"/>
        <v>1359264.08603843</v>
      </c>
      <c r="BG36">
        <v>18</v>
      </c>
      <c r="BH36" s="168">
        <f t="shared" si="12"/>
        <v>1539584.3728120641</v>
      </c>
      <c r="BI36" s="136">
        <f t="shared" si="8"/>
        <v>43484.84614528661</v>
      </c>
      <c r="BJ36" s="136">
        <f t="shared" si="9"/>
        <v>14112.856750777253</v>
      </c>
      <c r="BK36" s="136">
        <f t="shared" si="10"/>
        <v>29371.989394509357</v>
      </c>
      <c r="BL36" s="168">
        <f t="shared" si="11"/>
        <v>1510212.3834175547</v>
      </c>
    </row>
    <row r="37" spans="1:64" ht="15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R37" s="191">
        <v>24</v>
      </c>
      <c r="S37" s="192">
        <f t="shared" si="7"/>
        <v>1359264.08603843</v>
      </c>
      <c r="T37" s="192"/>
      <c r="U37" s="192">
        <f t="shared" si="2"/>
        <v>1359264.08603843</v>
      </c>
      <c r="V37" s="193">
        <f t="shared" si="3"/>
        <v>43484.84614528661</v>
      </c>
      <c r="W37" s="191">
        <f t="shared" si="4"/>
        <v>12459.920788685607</v>
      </c>
      <c r="X37" s="193">
        <f t="shared" si="5"/>
        <v>31024.925356601001</v>
      </c>
      <c r="Y37" s="193"/>
      <c r="Z37" s="192">
        <f t="shared" si="6"/>
        <v>1328239.1606818291</v>
      </c>
      <c r="AD37">
        <f t="shared" si="0"/>
        <v>24</v>
      </c>
      <c r="AE37" s="94">
        <f t="shared" si="1"/>
        <v>1328239.1606818291</v>
      </c>
      <c r="BG37">
        <v>19</v>
      </c>
      <c r="BH37" s="168">
        <f t="shared" si="12"/>
        <v>1510212.3834175547</v>
      </c>
      <c r="BI37" s="136">
        <f t="shared" si="8"/>
        <v>43484.84614528661</v>
      </c>
      <c r="BJ37" s="136">
        <f t="shared" si="9"/>
        <v>13843.613514660918</v>
      </c>
      <c r="BK37" s="136">
        <f t="shared" si="10"/>
        <v>29641.232630625695</v>
      </c>
      <c r="BL37" s="168">
        <f t="shared" si="11"/>
        <v>1480571.1507869291</v>
      </c>
    </row>
    <row r="38" spans="1:64" ht="15.5">
      <c r="A38" s="1"/>
      <c r="B38" s="1"/>
      <c r="C38" s="30"/>
      <c r="D38" s="30"/>
      <c r="E38" s="1"/>
      <c r="F38" s="1"/>
      <c r="G38" s="1"/>
      <c r="H38" s="1"/>
      <c r="I38" s="1"/>
      <c r="J38" s="217" t="s">
        <v>149</v>
      </c>
      <c r="K38" s="217"/>
      <c r="R38" s="191">
        <v>25</v>
      </c>
      <c r="S38" s="192">
        <f t="shared" si="7"/>
        <v>1328239.1606818291</v>
      </c>
      <c r="T38" s="192"/>
      <c r="U38" s="192">
        <f t="shared" si="2"/>
        <v>1328239.1606818291</v>
      </c>
      <c r="V38" s="193">
        <f t="shared" si="3"/>
        <v>43484.84614528661</v>
      </c>
      <c r="W38" s="191">
        <f t="shared" si="4"/>
        <v>12175.525639583433</v>
      </c>
      <c r="X38" s="193">
        <f t="shared" si="5"/>
        <v>31309.320505703177</v>
      </c>
      <c r="Y38" s="193"/>
      <c r="Z38" s="192">
        <f t="shared" si="6"/>
        <v>1296929.840176126</v>
      </c>
      <c r="AD38">
        <f t="shared" si="0"/>
        <v>25</v>
      </c>
      <c r="AE38" s="94">
        <f t="shared" si="1"/>
        <v>1296929.840176126</v>
      </c>
      <c r="BG38">
        <v>20</v>
      </c>
      <c r="BH38" s="168">
        <f t="shared" si="12"/>
        <v>1480571.1507869291</v>
      </c>
      <c r="BI38" s="136">
        <f t="shared" si="8"/>
        <v>43484.84614528661</v>
      </c>
      <c r="BJ38" s="136">
        <f t="shared" si="9"/>
        <v>13571.902215546848</v>
      </c>
      <c r="BK38" s="136">
        <f t="shared" si="10"/>
        <v>29912.943929739766</v>
      </c>
      <c r="BL38" s="168">
        <f t="shared" si="11"/>
        <v>1450658.2068571893</v>
      </c>
    </row>
    <row r="39" spans="1:64" ht="15.5">
      <c r="A39" s="1"/>
      <c r="B39" s="1"/>
      <c r="C39" s="89"/>
      <c r="D39" s="89"/>
      <c r="E39" s="1"/>
      <c r="F39" s="1"/>
      <c r="G39" s="1"/>
      <c r="H39" s="1"/>
      <c r="I39" s="1"/>
      <c r="J39" s="218" t="s">
        <v>155</v>
      </c>
      <c r="K39" s="217"/>
      <c r="R39" s="191">
        <v>26</v>
      </c>
      <c r="S39" s="192">
        <f t="shared" si="7"/>
        <v>1296929.840176126</v>
      </c>
      <c r="T39" s="192"/>
      <c r="U39" s="192">
        <f t="shared" si="2"/>
        <v>1296929.840176126</v>
      </c>
      <c r="V39" s="193">
        <f t="shared" si="3"/>
        <v>43484.84614528661</v>
      </c>
      <c r="W39" s="191">
        <f t="shared" si="4"/>
        <v>11888.523534947821</v>
      </c>
      <c r="X39" s="193">
        <f t="shared" si="5"/>
        <v>31596.32261033879</v>
      </c>
      <c r="Y39" s="193"/>
      <c r="Z39" s="192">
        <f t="shared" si="6"/>
        <v>1265333.5175657873</v>
      </c>
      <c r="AD39">
        <f t="shared" si="0"/>
        <v>26</v>
      </c>
      <c r="AE39" s="94">
        <f t="shared" si="1"/>
        <v>1265333.5175657873</v>
      </c>
      <c r="BG39">
        <v>21</v>
      </c>
      <c r="BH39" s="168">
        <f t="shared" si="12"/>
        <v>1450658.2068571893</v>
      </c>
      <c r="BI39" s="136">
        <f t="shared" si="8"/>
        <v>43484.84614528661</v>
      </c>
      <c r="BJ39" s="136">
        <f t="shared" si="9"/>
        <v>13297.700229524235</v>
      </c>
      <c r="BK39" s="136">
        <f t="shared" si="10"/>
        <v>30187.145915762379</v>
      </c>
      <c r="BL39" s="168">
        <f t="shared" si="11"/>
        <v>1420471.060941427</v>
      </c>
    </row>
    <row r="40" spans="1:64" ht="15.5">
      <c r="A40" s="1"/>
      <c r="B40" s="1"/>
      <c r="C40" s="1"/>
      <c r="D40" s="1"/>
      <c r="E40" s="1"/>
      <c r="F40" s="1"/>
      <c r="G40" s="1"/>
      <c r="H40" s="1"/>
      <c r="I40" s="8"/>
      <c r="J40" s="1"/>
      <c r="K40" s="1"/>
      <c r="R40" s="191">
        <v>27</v>
      </c>
      <c r="S40" s="192">
        <f t="shared" si="7"/>
        <v>1265333.5175657873</v>
      </c>
      <c r="T40" s="192"/>
      <c r="U40" s="192">
        <f t="shared" si="2"/>
        <v>1265333.5175657873</v>
      </c>
      <c r="V40" s="193">
        <f t="shared" si="3"/>
        <v>43484.84614528661</v>
      </c>
      <c r="W40" s="191">
        <f t="shared" si="4"/>
        <v>11598.890577686383</v>
      </c>
      <c r="X40" s="193">
        <f t="shared" si="5"/>
        <v>31885.955567600227</v>
      </c>
      <c r="Y40" s="193"/>
      <c r="Z40" s="192">
        <f t="shared" si="6"/>
        <v>1233447.5619981871</v>
      </c>
      <c r="AD40">
        <f t="shared" si="0"/>
        <v>27</v>
      </c>
      <c r="AE40" s="94">
        <f t="shared" si="1"/>
        <v>1233447.5619981871</v>
      </c>
      <c r="BG40">
        <v>22</v>
      </c>
      <c r="BH40" s="168">
        <f t="shared" si="12"/>
        <v>1420471.060941427</v>
      </c>
      <c r="BI40" s="136">
        <f t="shared" si="8"/>
        <v>43484.84614528661</v>
      </c>
      <c r="BJ40" s="136">
        <f t="shared" si="9"/>
        <v>13020.984725296412</v>
      </c>
      <c r="BK40" s="136">
        <f t="shared" si="10"/>
        <v>30463.8614199902</v>
      </c>
      <c r="BL40" s="168">
        <f t="shared" si="11"/>
        <v>1390007.1995214368</v>
      </c>
    </row>
    <row r="41" spans="1:64">
      <c r="R41" s="191">
        <v>28</v>
      </c>
      <c r="S41" s="192">
        <f t="shared" si="7"/>
        <v>1233447.5619981871</v>
      </c>
      <c r="T41" s="192"/>
      <c r="U41" s="192">
        <f t="shared" si="2"/>
        <v>1233447.5619981871</v>
      </c>
      <c r="V41" s="193">
        <f t="shared" si="3"/>
        <v>43484.84614528661</v>
      </c>
      <c r="W41" s="191">
        <f t="shared" si="4"/>
        <v>11306.602651650048</v>
      </c>
      <c r="X41" s="193">
        <f t="shared" si="5"/>
        <v>32178.243493636561</v>
      </c>
      <c r="Y41" s="193"/>
      <c r="Z41" s="192">
        <f t="shared" si="6"/>
        <v>1201269.3185045505</v>
      </c>
      <c r="AD41">
        <f t="shared" si="0"/>
        <v>28</v>
      </c>
      <c r="AE41" s="94">
        <f t="shared" si="1"/>
        <v>1201269.3185045505</v>
      </c>
      <c r="BG41">
        <v>23</v>
      </c>
      <c r="BH41" s="168">
        <f t="shared" si="12"/>
        <v>1390007.1995214368</v>
      </c>
      <c r="BI41" s="136">
        <f t="shared" si="8"/>
        <v>43484.84614528661</v>
      </c>
      <c r="BJ41" s="136">
        <f t="shared" si="9"/>
        <v>12741.732662279835</v>
      </c>
      <c r="BK41" s="136">
        <f t="shared" si="10"/>
        <v>30743.113483006775</v>
      </c>
      <c r="BL41" s="168">
        <f t="shared" si="11"/>
        <v>1359264.08603843</v>
      </c>
    </row>
    <row r="42" spans="1:64">
      <c r="R42" s="191">
        <v>29</v>
      </c>
      <c r="S42" s="192">
        <f t="shared" si="7"/>
        <v>1201269.3185045505</v>
      </c>
      <c r="T42" s="192"/>
      <c r="U42" s="192">
        <f t="shared" si="2"/>
        <v>1201269.3185045505</v>
      </c>
      <c r="V42" s="193">
        <f t="shared" si="3"/>
        <v>43484.84614528661</v>
      </c>
      <c r="W42" s="191">
        <f t="shared" si="4"/>
        <v>11011.635419625047</v>
      </c>
      <c r="X42" s="193">
        <f t="shared" si="5"/>
        <v>32473.210725661564</v>
      </c>
      <c r="Y42" s="193"/>
      <c r="Z42" s="192">
        <f t="shared" si="6"/>
        <v>1168796.1077788889</v>
      </c>
      <c r="AD42">
        <f t="shared" si="0"/>
        <v>29</v>
      </c>
      <c r="AE42" s="94">
        <f t="shared" si="1"/>
        <v>1168796.1077788889</v>
      </c>
      <c r="BG42">
        <v>24</v>
      </c>
      <c r="BH42" s="168">
        <f t="shared" si="12"/>
        <v>1359264.08603843</v>
      </c>
      <c r="BI42" s="136">
        <f t="shared" si="8"/>
        <v>43484.84614528661</v>
      </c>
      <c r="BJ42" s="136">
        <f t="shared" si="9"/>
        <v>12459.920788685606</v>
      </c>
      <c r="BK42" s="136">
        <f t="shared" si="10"/>
        <v>31024.925356601008</v>
      </c>
      <c r="BL42" s="168">
        <f t="shared" si="11"/>
        <v>1328239.1606818291</v>
      </c>
    </row>
    <row r="43" spans="1:64">
      <c r="R43" s="191">
        <v>30</v>
      </c>
      <c r="S43" s="192">
        <f t="shared" si="7"/>
        <v>1168796.1077788889</v>
      </c>
      <c r="T43" s="192"/>
      <c r="U43" s="192">
        <f t="shared" si="2"/>
        <v>1168796.1077788889</v>
      </c>
      <c r="V43" s="193">
        <f t="shared" si="3"/>
        <v>43484.84614528661</v>
      </c>
      <c r="W43" s="191">
        <f t="shared" si="4"/>
        <v>10713.964321306481</v>
      </c>
      <c r="X43" s="193">
        <f t="shared" si="5"/>
        <v>32770.881823980133</v>
      </c>
      <c r="Y43" s="193"/>
      <c r="Z43" s="192">
        <f t="shared" si="6"/>
        <v>1136025.2259549089</v>
      </c>
      <c r="AD43">
        <f t="shared" si="0"/>
        <v>30</v>
      </c>
      <c r="AE43" s="94">
        <f t="shared" si="1"/>
        <v>1136025.2259549089</v>
      </c>
      <c r="BG43">
        <v>25</v>
      </c>
      <c r="BH43" s="168">
        <f t="shared" si="12"/>
        <v>1328239.1606818291</v>
      </c>
      <c r="BI43" s="136">
        <f t="shared" si="8"/>
        <v>43484.84614528661</v>
      </c>
      <c r="BJ43" s="136">
        <f t="shared" si="9"/>
        <v>12175.525639583431</v>
      </c>
      <c r="BK43" s="136">
        <f t="shared" si="10"/>
        <v>31309.320505703181</v>
      </c>
      <c r="BL43" s="168">
        <f t="shared" si="11"/>
        <v>1296929.840176126</v>
      </c>
    </row>
    <row r="44" spans="1:64">
      <c r="R44" s="191">
        <v>31</v>
      </c>
      <c r="S44" s="192">
        <f t="shared" si="7"/>
        <v>1136025.2259549089</v>
      </c>
      <c r="T44" s="192"/>
      <c r="U44" s="192">
        <f t="shared" si="2"/>
        <v>1136025.2259549089</v>
      </c>
      <c r="V44" s="193">
        <f t="shared" si="3"/>
        <v>43484.84614528661</v>
      </c>
      <c r="W44" s="191">
        <f t="shared" si="4"/>
        <v>10413.564571253331</v>
      </c>
      <c r="X44" s="193">
        <f t="shared" si="5"/>
        <v>33071.281574033281</v>
      </c>
      <c r="Y44" s="193"/>
      <c r="Z44" s="192">
        <f t="shared" si="6"/>
        <v>1102953.9443808757</v>
      </c>
      <c r="AD44">
        <f t="shared" si="0"/>
        <v>31</v>
      </c>
      <c r="AE44" s="94">
        <f t="shared" si="1"/>
        <v>1102953.9443808757</v>
      </c>
      <c r="BG44">
        <v>26</v>
      </c>
      <c r="BH44" s="168">
        <f t="shared" si="12"/>
        <v>1296929.840176126</v>
      </c>
      <c r="BI44" s="136">
        <f t="shared" si="8"/>
        <v>43484.84614528661</v>
      </c>
      <c r="BJ44" s="136">
        <f t="shared" si="9"/>
        <v>11888.523534947817</v>
      </c>
      <c r="BK44" s="136">
        <f t="shared" si="10"/>
        <v>31596.322610338793</v>
      </c>
      <c r="BL44" s="168">
        <f t="shared" si="11"/>
        <v>1265333.5175657873</v>
      </c>
    </row>
    <row r="45" spans="1:64">
      <c r="R45" s="191">
        <v>32</v>
      </c>
      <c r="S45" s="192">
        <f t="shared" si="7"/>
        <v>1102953.9443808757</v>
      </c>
      <c r="T45" s="192"/>
      <c r="U45" s="192">
        <f t="shared" si="2"/>
        <v>1102953.9443808757</v>
      </c>
      <c r="V45" s="193">
        <f t="shared" si="3"/>
        <v>43484.84614528661</v>
      </c>
      <c r="W45" s="191">
        <f t="shared" si="4"/>
        <v>10110.411156824694</v>
      </c>
      <c r="X45" s="193">
        <f t="shared" si="5"/>
        <v>33374.434988461915</v>
      </c>
      <c r="Y45" s="193"/>
      <c r="Z45" s="192">
        <f t="shared" si="6"/>
        <v>1069579.5093924138</v>
      </c>
      <c r="AD45">
        <f t="shared" si="0"/>
        <v>32</v>
      </c>
      <c r="AE45" s="94">
        <f t="shared" si="1"/>
        <v>1069579.5093924138</v>
      </c>
      <c r="BG45">
        <v>27</v>
      </c>
      <c r="BH45" s="168">
        <f t="shared" si="12"/>
        <v>1265333.5175657873</v>
      </c>
      <c r="BI45" s="136">
        <f t="shared" si="8"/>
        <v>43484.84614528661</v>
      </c>
      <c r="BJ45" s="136">
        <f t="shared" si="9"/>
        <v>11598.890577686379</v>
      </c>
      <c r="BK45" s="136">
        <f t="shared" si="10"/>
        <v>31885.955567600235</v>
      </c>
      <c r="BL45" s="168">
        <f t="shared" si="11"/>
        <v>1233447.5619981871</v>
      </c>
    </row>
    <row r="46" spans="1:64">
      <c r="R46" s="191">
        <v>33</v>
      </c>
      <c r="S46" s="192">
        <f t="shared" si="7"/>
        <v>1069579.5093924138</v>
      </c>
      <c r="T46" s="192"/>
      <c r="U46" s="192">
        <f t="shared" si="2"/>
        <v>1069579.5093924138</v>
      </c>
      <c r="V46" s="193">
        <f t="shared" si="3"/>
        <v>43484.84614528661</v>
      </c>
      <c r="W46" s="191">
        <f t="shared" si="4"/>
        <v>9804.478836097127</v>
      </c>
      <c r="X46" s="193">
        <f t="shared" si="5"/>
        <v>33680.367309189482</v>
      </c>
      <c r="Y46" s="193"/>
      <c r="Z46" s="192">
        <f t="shared" si="6"/>
        <v>1035899.1420832243</v>
      </c>
      <c r="AD46">
        <f t="shared" si="0"/>
        <v>33</v>
      </c>
      <c r="AE46" s="94">
        <f t="shared" si="1"/>
        <v>1035899.1420832243</v>
      </c>
      <c r="BG46">
        <v>28</v>
      </c>
      <c r="BH46" s="168">
        <f t="shared" si="12"/>
        <v>1233447.5619981871</v>
      </c>
      <c r="BI46" s="136">
        <f t="shared" si="8"/>
        <v>43484.84614528661</v>
      </c>
      <c r="BJ46" s="136">
        <f t="shared" si="9"/>
        <v>11306.602651650046</v>
      </c>
      <c r="BK46" s="136">
        <f t="shared" si="10"/>
        <v>32178.243493636564</v>
      </c>
      <c r="BL46" s="168">
        <f t="shared" si="11"/>
        <v>1201269.3185045505</v>
      </c>
    </row>
    <row r="47" spans="1:64">
      <c r="R47" s="191">
        <v>34</v>
      </c>
      <c r="S47" s="192">
        <f t="shared" si="7"/>
        <v>1035899.1420832243</v>
      </c>
      <c r="T47" s="192"/>
      <c r="U47" s="192">
        <f t="shared" si="2"/>
        <v>1035899.1420832243</v>
      </c>
      <c r="V47" s="193">
        <f t="shared" si="3"/>
        <v>43484.84614528661</v>
      </c>
      <c r="W47" s="191">
        <f t="shared" si="4"/>
        <v>9495.7421357628882</v>
      </c>
      <c r="X47" s="193">
        <f t="shared" si="5"/>
        <v>33989.104009523726</v>
      </c>
      <c r="Y47" s="193"/>
      <c r="Z47" s="192">
        <f t="shared" si="6"/>
        <v>1001910.0380737005</v>
      </c>
      <c r="AD47">
        <f t="shared" si="0"/>
        <v>34</v>
      </c>
      <c r="AE47" s="94">
        <f t="shared" si="1"/>
        <v>1001910.0380737005</v>
      </c>
      <c r="BG47">
        <v>29</v>
      </c>
      <c r="BH47" s="168">
        <f t="shared" si="12"/>
        <v>1201269.3185045505</v>
      </c>
      <c r="BI47" s="136">
        <f t="shared" si="8"/>
        <v>43484.84614528661</v>
      </c>
      <c r="BJ47" s="136">
        <f t="shared" si="9"/>
        <v>11011.635419625041</v>
      </c>
      <c r="BK47" s="136">
        <f t="shared" si="10"/>
        <v>32473.210725661571</v>
      </c>
      <c r="BL47" s="168">
        <f t="shared" si="11"/>
        <v>1168796.1077788889</v>
      </c>
    </row>
    <row r="48" spans="1:64">
      <c r="R48" s="191">
        <v>35</v>
      </c>
      <c r="S48" s="192">
        <f t="shared" si="7"/>
        <v>1001910.0380737005</v>
      </c>
      <c r="T48" s="192"/>
      <c r="U48" s="192">
        <f t="shared" si="2"/>
        <v>1001910.0380737005</v>
      </c>
      <c r="V48" s="193">
        <f t="shared" si="3"/>
        <v>43484.84614528661</v>
      </c>
      <c r="W48" s="191">
        <f t="shared" si="4"/>
        <v>9184.1753490089213</v>
      </c>
      <c r="X48" s="193">
        <f t="shared" si="5"/>
        <v>34300.670796277685</v>
      </c>
      <c r="Y48" s="193"/>
      <c r="Z48" s="192">
        <f t="shared" si="6"/>
        <v>967609.3672774228</v>
      </c>
      <c r="AD48">
        <f t="shared" si="0"/>
        <v>35</v>
      </c>
      <c r="AE48" s="94">
        <f t="shared" si="1"/>
        <v>967609.3672774228</v>
      </c>
      <c r="BG48">
        <v>30</v>
      </c>
      <c r="BH48" s="168">
        <f t="shared" si="12"/>
        <v>1168796.1077788889</v>
      </c>
      <c r="BI48" s="136">
        <f t="shared" si="8"/>
        <v>43484.84614528661</v>
      </c>
      <c r="BJ48" s="136">
        <f t="shared" si="9"/>
        <v>10713.964321306477</v>
      </c>
      <c r="BK48" s="136">
        <f t="shared" si="10"/>
        <v>32770.881823980133</v>
      </c>
      <c r="BL48" s="168">
        <f t="shared" si="11"/>
        <v>1136025.2259549089</v>
      </c>
    </row>
    <row r="49" spans="18:64">
      <c r="R49" s="191">
        <v>36</v>
      </c>
      <c r="S49" s="192">
        <f t="shared" si="7"/>
        <v>967609.3672774228</v>
      </c>
      <c r="T49" s="192"/>
      <c r="U49" s="192">
        <f t="shared" si="2"/>
        <v>967609.3672774228</v>
      </c>
      <c r="V49" s="193">
        <f t="shared" si="3"/>
        <v>43484.84614528661</v>
      </c>
      <c r="W49" s="191">
        <f t="shared" si="4"/>
        <v>8869.7525333763751</v>
      </c>
      <c r="X49" s="193">
        <f t="shared" si="5"/>
        <v>34615.093611910233</v>
      </c>
      <c r="Y49" s="193"/>
      <c r="Z49" s="192">
        <f t="shared" si="6"/>
        <v>932994.27366551256</v>
      </c>
      <c r="AD49">
        <f t="shared" si="0"/>
        <v>36</v>
      </c>
      <c r="AE49" s="94">
        <f t="shared" si="1"/>
        <v>932994.27366551256</v>
      </c>
      <c r="BG49">
        <v>31</v>
      </c>
      <c r="BH49" s="168">
        <f t="shared" si="12"/>
        <v>1136025.2259549089</v>
      </c>
      <c r="BI49" s="136">
        <f t="shared" si="8"/>
        <v>43484.84614528661</v>
      </c>
      <c r="BJ49" s="136">
        <f t="shared" si="9"/>
        <v>10413.56457125333</v>
      </c>
      <c r="BK49" s="136">
        <f t="shared" si="10"/>
        <v>33071.281574033288</v>
      </c>
      <c r="BL49" s="168">
        <f t="shared" si="11"/>
        <v>1102953.9443808757</v>
      </c>
    </row>
    <row r="50" spans="18:64">
      <c r="R50" s="191">
        <v>37</v>
      </c>
      <c r="S50" s="192">
        <f t="shared" si="7"/>
        <v>932994.27366551256</v>
      </c>
      <c r="T50" s="192"/>
      <c r="U50" s="192">
        <f t="shared" si="2"/>
        <v>932994.27366551256</v>
      </c>
      <c r="V50" s="193">
        <f t="shared" si="3"/>
        <v>43484.84614528661</v>
      </c>
      <c r="W50" s="191">
        <f t="shared" si="4"/>
        <v>8552.4475086005314</v>
      </c>
      <c r="X50" s="193">
        <f t="shared" si="5"/>
        <v>34932.398636686077</v>
      </c>
      <c r="Y50" s="193"/>
      <c r="Z50" s="192">
        <f t="shared" si="6"/>
        <v>898061.87502882653</v>
      </c>
      <c r="AD50">
        <f t="shared" si="0"/>
        <v>37</v>
      </c>
      <c r="AE50" s="94">
        <f t="shared" si="1"/>
        <v>898061.87502882653</v>
      </c>
      <c r="BG50">
        <v>32</v>
      </c>
      <c r="BH50" s="168">
        <f t="shared" si="12"/>
        <v>1102953.9443808757</v>
      </c>
      <c r="BI50" s="136">
        <f t="shared" si="8"/>
        <v>43484.84614528661</v>
      </c>
      <c r="BJ50" s="136">
        <f t="shared" si="9"/>
        <v>10110.41115682469</v>
      </c>
      <c r="BK50" s="136">
        <f t="shared" si="10"/>
        <v>33374.434988461922</v>
      </c>
      <c r="BL50" s="168">
        <f t="shared" si="11"/>
        <v>1069579.5093924138</v>
      </c>
    </row>
    <row r="51" spans="18:64">
      <c r="R51" s="191">
        <v>38</v>
      </c>
      <c r="S51" s="192">
        <f t="shared" si="7"/>
        <v>898061.87502882653</v>
      </c>
      <c r="T51" s="192"/>
      <c r="U51" s="192">
        <f t="shared" si="2"/>
        <v>898061.87502882653</v>
      </c>
      <c r="V51" s="193">
        <f t="shared" si="3"/>
        <v>43484.84614528661</v>
      </c>
      <c r="W51" s="191">
        <f t="shared" si="4"/>
        <v>8232.2338544309096</v>
      </c>
      <c r="X51" s="193">
        <f t="shared" si="5"/>
        <v>35252.612290855701</v>
      </c>
      <c r="Y51" s="193"/>
      <c r="Z51" s="192">
        <f t="shared" si="6"/>
        <v>862809.2627379708</v>
      </c>
      <c r="AD51">
        <f t="shared" si="0"/>
        <v>38</v>
      </c>
      <c r="AE51" s="94">
        <f t="shared" si="1"/>
        <v>862809.2627379708</v>
      </c>
      <c r="BG51">
        <v>33</v>
      </c>
      <c r="BH51" s="168">
        <f t="shared" si="12"/>
        <v>1069579.5093924138</v>
      </c>
      <c r="BI51" s="136">
        <f t="shared" si="8"/>
        <v>43484.84614528661</v>
      </c>
      <c r="BJ51" s="136">
        <f t="shared" si="9"/>
        <v>9804.4788360971197</v>
      </c>
      <c r="BK51" s="136">
        <f t="shared" si="10"/>
        <v>33680.367309189489</v>
      </c>
      <c r="BL51" s="168">
        <f t="shared" si="11"/>
        <v>1035899.1420832243</v>
      </c>
    </row>
    <row r="52" spans="18:64">
      <c r="R52" s="191">
        <v>39</v>
      </c>
      <c r="S52" s="192">
        <f t="shared" si="7"/>
        <v>862809.2627379708</v>
      </c>
      <c r="T52" s="192"/>
      <c r="U52" s="192">
        <f t="shared" si="2"/>
        <v>862809.2627379708</v>
      </c>
      <c r="V52" s="193">
        <f t="shared" si="3"/>
        <v>43484.84614528661</v>
      </c>
      <c r="W52" s="191">
        <f t="shared" si="4"/>
        <v>7909.0849084313986</v>
      </c>
      <c r="X52" s="193">
        <f t="shared" si="5"/>
        <v>35575.761236855215</v>
      </c>
      <c r="Y52" s="193"/>
      <c r="Z52" s="192">
        <f t="shared" si="6"/>
        <v>827233.50150111562</v>
      </c>
      <c r="AD52">
        <f t="shared" si="0"/>
        <v>39</v>
      </c>
      <c r="AE52" s="94">
        <f t="shared" si="1"/>
        <v>827233.50150111562</v>
      </c>
      <c r="BG52">
        <v>34</v>
      </c>
      <c r="BH52" s="168">
        <f t="shared" si="12"/>
        <v>1035899.1420832243</v>
      </c>
      <c r="BI52" s="136">
        <f t="shared" si="8"/>
        <v>43484.84614528661</v>
      </c>
      <c r="BJ52" s="136">
        <f t="shared" si="9"/>
        <v>9495.7421357628828</v>
      </c>
      <c r="BK52" s="136">
        <f t="shared" si="10"/>
        <v>33989.104009523733</v>
      </c>
      <c r="BL52" s="168">
        <f t="shared" si="11"/>
        <v>1001910.0380737005</v>
      </c>
    </row>
    <row r="53" spans="18:64">
      <c r="R53" s="191">
        <v>40</v>
      </c>
      <c r="S53" s="192">
        <f t="shared" si="7"/>
        <v>827233.50150111562</v>
      </c>
      <c r="T53" s="192"/>
      <c r="U53" s="192">
        <f t="shared" si="2"/>
        <v>827233.50150111562</v>
      </c>
      <c r="V53" s="193">
        <f t="shared" si="3"/>
        <v>43484.84614528661</v>
      </c>
      <c r="W53" s="191">
        <f t="shared" si="4"/>
        <v>7582.9737637602266</v>
      </c>
      <c r="X53" s="193">
        <f t="shared" si="5"/>
        <v>35901.87238152638</v>
      </c>
      <c r="Y53" s="193"/>
      <c r="Z53" s="192">
        <f t="shared" si="6"/>
        <v>791331.62911958923</v>
      </c>
      <c r="AD53">
        <f t="shared" si="0"/>
        <v>40</v>
      </c>
      <c r="AE53" s="94">
        <f t="shared" si="1"/>
        <v>791331.62911958923</v>
      </c>
      <c r="BG53">
        <v>35</v>
      </c>
      <c r="BH53" s="168">
        <f t="shared" si="12"/>
        <v>1001910.0380737005</v>
      </c>
      <c r="BI53" s="136">
        <f t="shared" si="8"/>
        <v>43484.84614528661</v>
      </c>
      <c r="BJ53" s="136">
        <f t="shared" si="9"/>
        <v>9184.1753490089159</v>
      </c>
      <c r="BK53" s="136">
        <f t="shared" si="10"/>
        <v>34300.670796277693</v>
      </c>
      <c r="BL53" s="168">
        <f t="shared" si="11"/>
        <v>967609.3672774228</v>
      </c>
    </row>
    <row r="54" spans="18:64">
      <c r="R54" s="191">
        <v>41</v>
      </c>
      <c r="S54" s="192">
        <f t="shared" si="7"/>
        <v>791331.62911958923</v>
      </c>
      <c r="T54" s="192"/>
      <c r="U54" s="192">
        <f t="shared" si="2"/>
        <v>791331.62911958923</v>
      </c>
      <c r="V54" s="193">
        <f t="shared" si="3"/>
        <v>43484.84614528661</v>
      </c>
      <c r="W54" s="191">
        <f t="shared" si="4"/>
        <v>7253.8732669295678</v>
      </c>
      <c r="X54" s="193">
        <f t="shared" si="5"/>
        <v>36230.972878357046</v>
      </c>
      <c r="Y54" s="193"/>
      <c r="Z54" s="192">
        <f t="shared" si="6"/>
        <v>755100.65624123218</v>
      </c>
      <c r="AD54">
        <f t="shared" si="0"/>
        <v>41</v>
      </c>
      <c r="AE54" s="94">
        <f t="shared" si="1"/>
        <v>755100.65624123218</v>
      </c>
      <c r="BG54">
        <v>36</v>
      </c>
      <c r="BH54" s="168">
        <f t="shared" si="12"/>
        <v>967609.3672774228</v>
      </c>
      <c r="BI54" s="136">
        <f t="shared" si="8"/>
        <v>43484.84614528661</v>
      </c>
      <c r="BJ54" s="136">
        <f t="shared" si="9"/>
        <v>8869.7525333763697</v>
      </c>
      <c r="BK54" s="136">
        <f t="shared" si="10"/>
        <v>34615.093611910241</v>
      </c>
      <c r="BL54" s="168">
        <f t="shared" si="11"/>
        <v>932994.27366551256</v>
      </c>
    </row>
    <row r="55" spans="18:64">
      <c r="R55" s="191">
        <v>42</v>
      </c>
      <c r="S55" s="192">
        <f t="shared" si="7"/>
        <v>755100.65624123218</v>
      </c>
      <c r="T55" s="192"/>
      <c r="U55" s="192">
        <f t="shared" si="2"/>
        <v>755100.65624123218</v>
      </c>
      <c r="V55" s="193">
        <f t="shared" si="3"/>
        <v>43484.84614528661</v>
      </c>
      <c r="W55" s="191">
        <f t="shared" si="4"/>
        <v>6921.7560155446281</v>
      </c>
      <c r="X55" s="193">
        <f t="shared" si="5"/>
        <v>36563.090129741984</v>
      </c>
      <c r="Y55" s="193"/>
      <c r="Z55" s="192">
        <f t="shared" si="6"/>
        <v>718537.56611149025</v>
      </c>
      <c r="AD55">
        <f t="shared" si="0"/>
        <v>42</v>
      </c>
      <c r="AE55" s="94">
        <f t="shared" si="1"/>
        <v>718537.56611149025</v>
      </c>
      <c r="BG55">
        <v>37</v>
      </c>
      <c r="BH55" s="168">
        <f t="shared" si="12"/>
        <v>932994.27366551256</v>
      </c>
      <c r="BI55" s="136">
        <f t="shared" si="8"/>
        <v>43484.84614528661</v>
      </c>
      <c r="BJ55" s="136">
        <f t="shared" si="9"/>
        <v>8552.4475086005277</v>
      </c>
      <c r="BK55" s="136">
        <f t="shared" si="10"/>
        <v>34932.398636686085</v>
      </c>
      <c r="BL55" s="168">
        <f t="shared" si="11"/>
        <v>898061.87502882653</v>
      </c>
    </row>
    <row r="56" spans="18:64">
      <c r="R56" s="191">
        <v>43</v>
      </c>
      <c r="S56" s="192">
        <f t="shared" si="7"/>
        <v>718537.56611149025</v>
      </c>
      <c r="T56" s="192"/>
      <c r="U56" s="192">
        <f t="shared" si="2"/>
        <v>718537.56611149025</v>
      </c>
      <c r="V56" s="193">
        <f t="shared" si="3"/>
        <v>43484.84614528661</v>
      </c>
      <c r="W56" s="191">
        <f t="shared" si="4"/>
        <v>6586.5943560219939</v>
      </c>
      <c r="X56" s="193">
        <f t="shared" si="5"/>
        <v>36898.251789264614</v>
      </c>
      <c r="Y56" s="193"/>
      <c r="Z56" s="192">
        <f t="shared" si="6"/>
        <v>681639.31432222563</v>
      </c>
      <c r="AD56">
        <f t="shared" si="0"/>
        <v>43</v>
      </c>
      <c r="AE56" s="94">
        <f t="shared" si="1"/>
        <v>681639.31432222563</v>
      </c>
      <c r="BG56">
        <v>38</v>
      </c>
      <c r="BH56" s="168">
        <f t="shared" si="12"/>
        <v>898061.87502882653</v>
      </c>
      <c r="BI56" s="136">
        <f t="shared" si="8"/>
        <v>43484.84614528661</v>
      </c>
      <c r="BJ56" s="136">
        <f t="shared" si="9"/>
        <v>8232.2338544309041</v>
      </c>
      <c r="BK56" s="136">
        <f t="shared" si="10"/>
        <v>35252.612290855708</v>
      </c>
      <c r="BL56" s="168">
        <f t="shared" si="11"/>
        <v>862809.2627379708</v>
      </c>
    </row>
    <row r="57" spans="18:64">
      <c r="R57" s="191">
        <v>44</v>
      </c>
      <c r="S57" s="192">
        <f t="shared" si="7"/>
        <v>681639.31432222563</v>
      </c>
      <c r="T57" s="192"/>
      <c r="U57" s="192">
        <f t="shared" si="2"/>
        <v>681639.31432222563</v>
      </c>
      <c r="V57" s="193">
        <f t="shared" si="3"/>
        <v>43484.84614528661</v>
      </c>
      <c r="W57" s="191">
        <f t="shared" si="4"/>
        <v>6248.3603812870688</v>
      </c>
      <c r="X57" s="193">
        <f t="shared" si="5"/>
        <v>37236.485763999539</v>
      </c>
      <c r="Y57" s="193"/>
      <c r="Z57" s="192">
        <f t="shared" si="6"/>
        <v>644402.82855822612</v>
      </c>
      <c r="AD57">
        <f t="shared" si="0"/>
        <v>44</v>
      </c>
      <c r="AE57" s="94">
        <f t="shared" si="1"/>
        <v>644402.82855822612</v>
      </c>
      <c r="BG57">
        <v>39</v>
      </c>
      <c r="BH57" s="168">
        <f t="shared" si="12"/>
        <v>862809.2627379708</v>
      </c>
      <c r="BI57" s="136">
        <f t="shared" si="8"/>
        <v>43484.84614528661</v>
      </c>
      <c r="BJ57" s="136">
        <f t="shared" si="9"/>
        <v>7909.0849084313941</v>
      </c>
      <c r="BK57" s="136">
        <f t="shared" si="10"/>
        <v>35575.761236855222</v>
      </c>
      <c r="BL57" s="168">
        <f t="shared" si="11"/>
        <v>827233.50150111562</v>
      </c>
    </row>
    <row r="58" spans="18:64">
      <c r="R58" s="191">
        <v>45</v>
      </c>
      <c r="S58" s="192">
        <f t="shared" si="7"/>
        <v>644402.82855822612</v>
      </c>
      <c r="T58" s="192"/>
      <c r="U58" s="192">
        <f t="shared" si="2"/>
        <v>644402.82855822612</v>
      </c>
      <c r="V58" s="193">
        <f t="shared" si="3"/>
        <v>43484.84614528661</v>
      </c>
      <c r="W58" s="191">
        <f t="shared" si="4"/>
        <v>5907.0259284504064</v>
      </c>
      <c r="X58" s="193">
        <f t="shared" si="5"/>
        <v>37577.820216836204</v>
      </c>
      <c r="Y58" s="193"/>
      <c r="Z58" s="192">
        <f t="shared" si="6"/>
        <v>606825.00834138994</v>
      </c>
      <c r="AD58">
        <f t="shared" si="0"/>
        <v>45</v>
      </c>
      <c r="AE58" s="94">
        <f t="shared" si="1"/>
        <v>606825.00834138994</v>
      </c>
      <c r="BG58">
        <v>40</v>
      </c>
      <c r="BH58" s="168">
        <f t="shared" si="12"/>
        <v>827233.50150111562</v>
      </c>
      <c r="BI58" s="136">
        <f t="shared" si="8"/>
        <v>43484.84614528661</v>
      </c>
      <c r="BJ58" s="136">
        <f t="shared" si="9"/>
        <v>7582.9737637602211</v>
      </c>
      <c r="BK58" s="136">
        <f t="shared" si="10"/>
        <v>35901.872381526395</v>
      </c>
      <c r="BL58" s="168">
        <f t="shared" si="11"/>
        <v>791331.62911958923</v>
      </c>
    </row>
    <row r="59" spans="18:64">
      <c r="R59" s="191">
        <v>46</v>
      </c>
      <c r="S59" s="192">
        <f t="shared" si="7"/>
        <v>606825.00834138994</v>
      </c>
      <c r="T59" s="192"/>
      <c r="U59" s="192">
        <f t="shared" si="2"/>
        <v>606825.00834138994</v>
      </c>
      <c r="V59" s="193">
        <f t="shared" si="3"/>
        <v>43484.84614528661</v>
      </c>
      <c r="W59" s="191">
        <f t="shared" si="4"/>
        <v>5562.5625764627412</v>
      </c>
      <c r="X59" s="193">
        <f t="shared" si="5"/>
        <v>37922.28356882387</v>
      </c>
      <c r="Y59" s="193"/>
      <c r="Z59" s="192">
        <f t="shared" si="6"/>
        <v>568902.72477256611</v>
      </c>
      <c r="AD59">
        <f t="shared" si="0"/>
        <v>46</v>
      </c>
      <c r="AE59" s="94">
        <f t="shared" si="1"/>
        <v>568902.72477256611</v>
      </c>
      <c r="BG59">
        <v>41</v>
      </c>
      <c r="BH59" s="168">
        <f t="shared" si="12"/>
        <v>791331.62911958923</v>
      </c>
      <c r="BI59" s="136">
        <f t="shared" si="8"/>
        <v>43484.84614528661</v>
      </c>
      <c r="BJ59" s="136">
        <f t="shared" si="9"/>
        <v>7253.8732669295623</v>
      </c>
      <c r="BK59" s="136">
        <f t="shared" si="10"/>
        <v>36230.972878357054</v>
      </c>
      <c r="BL59" s="168">
        <f t="shared" si="11"/>
        <v>755100.65624123218</v>
      </c>
    </row>
    <row r="60" spans="18:64">
      <c r="R60" s="191">
        <v>47</v>
      </c>
      <c r="S60" s="192">
        <f t="shared" si="7"/>
        <v>568902.72477256611</v>
      </c>
      <c r="T60" s="192"/>
      <c r="U60" s="192">
        <f t="shared" si="2"/>
        <v>568902.72477256611</v>
      </c>
      <c r="V60" s="193">
        <f t="shared" si="3"/>
        <v>43484.84614528661</v>
      </c>
      <c r="W60" s="191">
        <f t="shared" si="4"/>
        <v>5214.9416437485224</v>
      </c>
      <c r="X60" s="193">
        <f t="shared" si="5"/>
        <v>38269.904501538091</v>
      </c>
      <c r="Y60" s="193"/>
      <c r="Z60" s="192">
        <f t="shared" si="6"/>
        <v>530632.82027102797</v>
      </c>
      <c r="AD60">
        <f t="shared" si="0"/>
        <v>47</v>
      </c>
      <c r="AE60" s="94">
        <f t="shared" si="1"/>
        <v>530632.82027102797</v>
      </c>
      <c r="BG60">
        <v>42</v>
      </c>
      <c r="BH60" s="168">
        <f t="shared" si="12"/>
        <v>755100.65624123218</v>
      </c>
      <c r="BI60" s="136">
        <f t="shared" si="8"/>
        <v>43484.84614528661</v>
      </c>
      <c r="BJ60" s="136">
        <f t="shared" si="9"/>
        <v>6921.7560155446217</v>
      </c>
      <c r="BK60" s="136">
        <f t="shared" si="10"/>
        <v>36563.090129741991</v>
      </c>
      <c r="BL60" s="168">
        <f t="shared" si="11"/>
        <v>718537.56611149013</v>
      </c>
    </row>
    <row r="61" spans="18:64">
      <c r="R61" s="191">
        <v>48</v>
      </c>
      <c r="S61" s="192">
        <f t="shared" si="7"/>
        <v>530632.82027102797</v>
      </c>
      <c r="T61" s="192"/>
      <c r="U61" s="192">
        <f t="shared" si="2"/>
        <v>530632.82027102797</v>
      </c>
      <c r="V61" s="193">
        <f t="shared" si="3"/>
        <v>43484.84614528661</v>
      </c>
      <c r="W61" s="191">
        <f t="shared" si="4"/>
        <v>4864.1341858177566</v>
      </c>
      <c r="X61" s="193">
        <f t="shared" si="5"/>
        <v>38620.711959468856</v>
      </c>
      <c r="Y61" s="193"/>
      <c r="Z61" s="192">
        <f t="shared" si="6"/>
        <v>492012.10831155913</v>
      </c>
      <c r="AD61">
        <f t="shared" si="0"/>
        <v>48</v>
      </c>
      <c r="AE61" s="94">
        <f t="shared" si="1"/>
        <v>492012.10831155913</v>
      </c>
      <c r="BG61">
        <v>43</v>
      </c>
      <c r="BH61" s="168">
        <f t="shared" si="12"/>
        <v>718537.56611149013</v>
      </c>
      <c r="BI61" s="136">
        <f t="shared" si="8"/>
        <v>43484.84614528661</v>
      </c>
      <c r="BJ61" s="136">
        <f t="shared" si="9"/>
        <v>6586.5943560219876</v>
      </c>
      <c r="BK61" s="136">
        <f t="shared" si="10"/>
        <v>36898.251789264628</v>
      </c>
      <c r="BL61" s="168">
        <f t="shared" si="11"/>
        <v>681639.31432222552</v>
      </c>
    </row>
    <row r="62" spans="18:64">
      <c r="R62" s="191">
        <v>49</v>
      </c>
      <c r="S62" s="192">
        <f t="shared" si="7"/>
        <v>492012.10831155913</v>
      </c>
      <c r="T62" s="192"/>
      <c r="U62" s="192">
        <f t="shared" si="2"/>
        <v>492012.10831155913</v>
      </c>
      <c r="V62" s="193">
        <f t="shared" si="3"/>
        <v>43484.84614528661</v>
      </c>
      <c r="W62" s="191">
        <f t="shared" si="4"/>
        <v>4510.110992855959</v>
      </c>
      <c r="X62" s="193">
        <f t="shared" si="5"/>
        <v>38974.73515243065</v>
      </c>
      <c r="Y62" s="193"/>
      <c r="Z62" s="192">
        <f t="shared" si="6"/>
        <v>453037.37315912847</v>
      </c>
      <c r="AD62">
        <f t="shared" si="0"/>
        <v>49</v>
      </c>
      <c r="AE62" s="94">
        <f t="shared" si="1"/>
        <v>453037.37315912847</v>
      </c>
      <c r="BG62">
        <v>44</v>
      </c>
      <c r="BH62" s="168">
        <f t="shared" si="12"/>
        <v>681639.31432222552</v>
      </c>
      <c r="BI62" s="136">
        <f t="shared" si="8"/>
        <v>43484.84614528661</v>
      </c>
      <c r="BJ62" s="136">
        <f t="shared" si="9"/>
        <v>6248.3603812870615</v>
      </c>
      <c r="BK62" s="136">
        <f t="shared" si="10"/>
        <v>37236.485763999553</v>
      </c>
      <c r="BL62" s="168">
        <f t="shared" si="11"/>
        <v>644402.828558226</v>
      </c>
    </row>
    <row r="63" spans="18:64">
      <c r="R63" s="191">
        <v>50</v>
      </c>
      <c r="S63" s="192">
        <f t="shared" si="7"/>
        <v>453037.37315912847</v>
      </c>
      <c r="T63" s="192"/>
      <c r="U63" s="192">
        <f t="shared" si="2"/>
        <v>453037.37315912847</v>
      </c>
      <c r="V63" s="193">
        <f t="shared" si="3"/>
        <v>43484.84614528661</v>
      </c>
      <c r="W63" s="191">
        <f t="shared" si="4"/>
        <v>4152.8425872920106</v>
      </c>
      <c r="X63" s="193">
        <f t="shared" si="5"/>
        <v>39332.003557994598</v>
      </c>
      <c r="Y63" s="193"/>
      <c r="Z63" s="192">
        <f t="shared" si="6"/>
        <v>413705.36960113386</v>
      </c>
      <c r="AD63">
        <f t="shared" si="0"/>
        <v>50</v>
      </c>
      <c r="AE63" s="94">
        <f t="shared" si="1"/>
        <v>413705.36960113386</v>
      </c>
      <c r="BG63">
        <v>45</v>
      </c>
      <c r="BH63" s="168">
        <f t="shared" si="12"/>
        <v>644402.828558226</v>
      </c>
      <c r="BI63" s="136">
        <f t="shared" si="8"/>
        <v>43484.84614528661</v>
      </c>
      <c r="BJ63" s="136">
        <f t="shared" si="9"/>
        <v>5907.0259284503982</v>
      </c>
      <c r="BK63" s="136">
        <f t="shared" si="10"/>
        <v>37577.820216836211</v>
      </c>
      <c r="BL63" s="168">
        <f t="shared" si="11"/>
        <v>606825.00834138982</v>
      </c>
    </row>
    <row r="64" spans="18:64">
      <c r="R64" s="191">
        <v>51</v>
      </c>
      <c r="S64" s="192">
        <f t="shared" si="7"/>
        <v>413705.36960113386</v>
      </c>
      <c r="T64" s="192"/>
      <c r="U64" s="192">
        <f t="shared" si="2"/>
        <v>413705.36960113386</v>
      </c>
      <c r="V64" s="193">
        <f t="shared" si="3"/>
        <v>43484.84614528661</v>
      </c>
      <c r="W64" s="191">
        <f t="shared" si="4"/>
        <v>3792.2992213437269</v>
      </c>
      <c r="X64" s="193">
        <f t="shared" si="5"/>
        <v>39692.546923942886</v>
      </c>
      <c r="Y64" s="193"/>
      <c r="Z64" s="192">
        <f t="shared" si="6"/>
        <v>374012.822677191</v>
      </c>
      <c r="AD64">
        <f t="shared" si="0"/>
        <v>51</v>
      </c>
      <c r="AE64" s="94">
        <f t="shared" si="1"/>
        <v>374012.822677191</v>
      </c>
      <c r="BG64">
        <v>46</v>
      </c>
      <c r="BH64" s="168">
        <f t="shared" si="12"/>
        <v>606825.00834138982</v>
      </c>
      <c r="BI64" s="136">
        <f t="shared" si="8"/>
        <v>43484.84614528661</v>
      </c>
      <c r="BJ64" s="136">
        <f t="shared" si="9"/>
        <v>5562.5625764627348</v>
      </c>
      <c r="BK64" s="136">
        <f t="shared" si="10"/>
        <v>37922.283568823877</v>
      </c>
      <c r="BL64" s="168">
        <f t="shared" si="11"/>
        <v>568902.724772566</v>
      </c>
    </row>
    <row r="65" spans="10:64">
      <c r="R65" s="191">
        <v>52</v>
      </c>
      <c r="S65" s="192">
        <f t="shared" si="7"/>
        <v>374012.822677191</v>
      </c>
      <c r="T65" s="192"/>
      <c r="U65" s="192">
        <f t="shared" si="2"/>
        <v>374012.822677191</v>
      </c>
      <c r="V65" s="193">
        <f t="shared" si="3"/>
        <v>43484.84614528661</v>
      </c>
      <c r="W65" s="191">
        <f t="shared" si="4"/>
        <v>3428.4508745409175</v>
      </c>
      <c r="X65" s="193">
        <f t="shared" si="5"/>
        <v>40056.395270745692</v>
      </c>
      <c r="Y65" s="193"/>
      <c r="Z65" s="192">
        <f t="shared" si="6"/>
        <v>333956.42740644532</v>
      </c>
      <c r="AD65">
        <f t="shared" si="0"/>
        <v>52</v>
      </c>
      <c r="AE65" s="94">
        <f t="shared" si="1"/>
        <v>333956.42740644532</v>
      </c>
      <c r="BG65">
        <v>47</v>
      </c>
      <c r="BH65" s="168">
        <f t="shared" si="12"/>
        <v>568902.724772566</v>
      </c>
      <c r="BI65" s="136">
        <f t="shared" si="8"/>
        <v>43484.84614528661</v>
      </c>
      <c r="BJ65" s="136">
        <f t="shared" si="9"/>
        <v>5214.9416437485152</v>
      </c>
      <c r="BK65" s="136">
        <f t="shared" si="10"/>
        <v>38269.904501538098</v>
      </c>
      <c r="BL65" s="168">
        <f t="shared" si="11"/>
        <v>530632.82027102786</v>
      </c>
    </row>
    <row r="66" spans="10:64">
      <c r="R66" s="191">
        <v>53</v>
      </c>
      <c r="S66" s="192">
        <f t="shared" si="7"/>
        <v>333956.42740644532</v>
      </c>
      <c r="T66" s="192"/>
      <c r="U66" s="192">
        <f t="shared" si="2"/>
        <v>333956.42740644532</v>
      </c>
      <c r="V66" s="193">
        <f t="shared" si="3"/>
        <v>43484.84614528661</v>
      </c>
      <c r="W66" s="191">
        <f t="shared" si="4"/>
        <v>3061.2672512257486</v>
      </c>
      <c r="X66" s="193">
        <f t="shared" si="5"/>
        <v>40423.578894060862</v>
      </c>
      <c r="Y66" s="193"/>
      <c r="Z66" s="192">
        <f t="shared" si="6"/>
        <v>293532.84851238446</v>
      </c>
      <c r="AD66">
        <f t="shared" si="0"/>
        <v>53</v>
      </c>
      <c r="AE66" s="94">
        <f t="shared" si="1"/>
        <v>293532.84851238446</v>
      </c>
      <c r="BG66">
        <v>48</v>
      </c>
      <c r="BH66" s="168">
        <f t="shared" si="12"/>
        <v>530632.82027102786</v>
      </c>
      <c r="BI66" s="136">
        <f t="shared" si="8"/>
        <v>43484.84614528661</v>
      </c>
      <c r="BJ66" s="136">
        <f t="shared" si="9"/>
        <v>4864.1341858177502</v>
      </c>
      <c r="BK66" s="136">
        <f t="shared" si="10"/>
        <v>38620.711959468863</v>
      </c>
      <c r="BL66" s="168">
        <f t="shared" si="11"/>
        <v>492012.10831155902</v>
      </c>
    </row>
    <row r="67" spans="10:64">
      <c r="R67" s="191">
        <v>54</v>
      </c>
      <c r="S67" s="192">
        <f t="shared" si="7"/>
        <v>293532.84851238446</v>
      </c>
      <c r="T67" s="192"/>
      <c r="U67" s="192">
        <f t="shared" si="2"/>
        <v>293532.84851238446</v>
      </c>
      <c r="V67" s="193">
        <f t="shared" si="3"/>
        <v>43484.84614528661</v>
      </c>
      <c r="W67" s="191">
        <f t="shared" si="4"/>
        <v>2690.7177780301909</v>
      </c>
      <c r="X67" s="193">
        <f t="shared" si="5"/>
        <v>40794.128367256417</v>
      </c>
      <c r="Y67" s="193"/>
      <c r="Z67" s="192">
        <f t="shared" si="6"/>
        <v>252738.72014512803</v>
      </c>
      <c r="AD67">
        <f t="shared" si="0"/>
        <v>54</v>
      </c>
      <c r="AE67" s="94">
        <f t="shared" si="1"/>
        <v>252738.72014512803</v>
      </c>
      <c r="BG67">
        <v>49</v>
      </c>
      <c r="BH67" s="168">
        <f t="shared" si="12"/>
        <v>492012.10831155902</v>
      </c>
      <c r="BI67" s="136">
        <f t="shared" si="8"/>
        <v>43484.84614528661</v>
      </c>
      <c r="BJ67" s="136">
        <f t="shared" si="9"/>
        <v>4510.1109928559526</v>
      </c>
      <c r="BK67" s="136">
        <f t="shared" si="10"/>
        <v>38974.735152430665</v>
      </c>
      <c r="BL67" s="168">
        <f t="shared" si="11"/>
        <v>453037.37315912836</v>
      </c>
    </row>
    <row r="68" spans="10:64">
      <c r="R68" s="191">
        <v>55</v>
      </c>
      <c r="S68" s="192">
        <f t="shared" si="7"/>
        <v>252738.72014512803</v>
      </c>
      <c r="T68" s="192"/>
      <c r="U68" s="192">
        <f t="shared" si="2"/>
        <v>252738.72014512803</v>
      </c>
      <c r="V68" s="193">
        <f t="shared" si="3"/>
        <v>43484.84614528661</v>
      </c>
      <c r="W68" s="191">
        <f t="shared" si="4"/>
        <v>2316.7716013303402</v>
      </c>
      <c r="X68" s="193">
        <f t="shared" si="5"/>
        <v>41168.074543956267</v>
      </c>
      <c r="Y68" s="193"/>
      <c r="Z68" s="192">
        <f t="shared" si="6"/>
        <v>211570.64560117177</v>
      </c>
      <c r="AD68">
        <f t="shared" si="0"/>
        <v>55</v>
      </c>
      <c r="AE68" s="94">
        <f t="shared" si="1"/>
        <v>211570.64560117177</v>
      </c>
      <c r="BG68">
        <v>50</v>
      </c>
      <c r="BH68" s="168">
        <f t="shared" si="12"/>
        <v>453037.37315912836</v>
      </c>
      <c r="BI68" s="136">
        <f t="shared" si="8"/>
        <v>43484.84614528661</v>
      </c>
      <c r="BJ68" s="136">
        <f t="shared" si="9"/>
        <v>4152.8425872920043</v>
      </c>
      <c r="BK68" s="136">
        <f t="shared" si="10"/>
        <v>39332.003557994612</v>
      </c>
      <c r="BL68" s="168">
        <f t="shared" si="11"/>
        <v>413705.36960113375</v>
      </c>
    </row>
    <row r="69" spans="10:64">
      <c r="R69" s="191">
        <v>56</v>
      </c>
      <c r="S69" s="192">
        <f t="shared" si="7"/>
        <v>211570.64560117177</v>
      </c>
      <c r="T69" s="192"/>
      <c r="U69" s="192">
        <f t="shared" si="2"/>
        <v>211570.64560117177</v>
      </c>
      <c r="V69" s="193">
        <f t="shared" si="3"/>
        <v>43484.84614528661</v>
      </c>
      <c r="W69" s="191">
        <f t="shared" si="4"/>
        <v>1939.3975846774078</v>
      </c>
      <c r="X69" s="193">
        <f t="shared" si="5"/>
        <v>41545.448560609206</v>
      </c>
      <c r="Y69" s="193"/>
      <c r="Z69" s="192">
        <f t="shared" si="6"/>
        <v>170025.19704056258</v>
      </c>
      <c r="AD69">
        <f t="shared" si="0"/>
        <v>56</v>
      </c>
      <c r="AE69" s="94">
        <f t="shared" si="1"/>
        <v>170025.19704056258</v>
      </c>
      <c r="BG69">
        <v>51</v>
      </c>
      <c r="BH69" s="168">
        <f t="shared" si="12"/>
        <v>413705.36960113375</v>
      </c>
      <c r="BI69" s="136">
        <f t="shared" si="8"/>
        <v>43484.84614528661</v>
      </c>
      <c r="BJ69" s="136">
        <f t="shared" si="9"/>
        <v>3792.2992213437201</v>
      </c>
      <c r="BK69" s="136">
        <f t="shared" si="10"/>
        <v>39692.546923942893</v>
      </c>
      <c r="BL69" s="168">
        <f t="shared" si="11"/>
        <v>374012.82267719088</v>
      </c>
    </row>
    <row r="70" spans="10:64">
      <c r="R70" s="191">
        <v>57</v>
      </c>
      <c r="S70" s="192">
        <f t="shared" si="7"/>
        <v>170025.19704056258</v>
      </c>
      <c r="T70" s="192"/>
      <c r="U70" s="192">
        <f t="shared" si="2"/>
        <v>170025.19704056258</v>
      </c>
      <c r="V70" s="193">
        <f t="shared" si="3"/>
        <v>43484.84614528661</v>
      </c>
      <c r="W70" s="191">
        <f t="shared" si="4"/>
        <v>1558.564306205157</v>
      </c>
      <c r="X70" s="193">
        <f t="shared" si="5"/>
        <v>41926.28183908145</v>
      </c>
      <c r="Y70" s="193"/>
      <c r="Z70" s="192">
        <f t="shared" si="6"/>
        <v>128098.91520148113</v>
      </c>
      <c r="AD70">
        <f t="shared" si="0"/>
        <v>57</v>
      </c>
      <c r="AE70" s="94">
        <f t="shared" si="1"/>
        <v>128098.91520148113</v>
      </c>
      <c r="BG70">
        <v>52</v>
      </c>
      <c r="BH70" s="168">
        <f t="shared" si="12"/>
        <v>374012.82267719088</v>
      </c>
      <c r="BI70" s="136">
        <f t="shared" si="8"/>
        <v>43484.84614528661</v>
      </c>
      <c r="BJ70" s="136">
        <f t="shared" si="9"/>
        <v>3428.4508745409107</v>
      </c>
      <c r="BK70" s="136">
        <f t="shared" si="10"/>
        <v>40056.395270745699</v>
      </c>
      <c r="BL70" s="168">
        <f t="shared" si="11"/>
        <v>333956.4274064452</v>
      </c>
    </row>
    <row r="71" spans="10:64">
      <c r="R71" s="191">
        <v>58</v>
      </c>
      <c r="S71" s="192">
        <f t="shared" si="7"/>
        <v>128098.91520148113</v>
      </c>
      <c r="T71" s="192"/>
      <c r="U71" s="192">
        <f t="shared" si="2"/>
        <v>128098.91520148113</v>
      </c>
      <c r="V71" s="193">
        <f t="shared" si="3"/>
        <v>43484.84614528661</v>
      </c>
      <c r="W71" s="191">
        <f t="shared" si="4"/>
        <v>1174.240056013577</v>
      </c>
      <c r="X71" s="193">
        <f t="shared" si="5"/>
        <v>42310.606089273031</v>
      </c>
      <c r="Y71" s="193"/>
      <c r="Z71" s="192">
        <f t="shared" si="6"/>
        <v>85788.309112208095</v>
      </c>
      <c r="AD71">
        <f t="shared" si="0"/>
        <v>58</v>
      </c>
      <c r="AE71" s="94">
        <f t="shared" si="1"/>
        <v>85788.309112208095</v>
      </c>
      <c r="BG71">
        <v>53</v>
      </c>
      <c r="BH71" s="168">
        <f t="shared" si="12"/>
        <v>333956.4274064452</v>
      </c>
      <c r="BI71" s="136">
        <f t="shared" si="8"/>
        <v>43484.84614528661</v>
      </c>
      <c r="BJ71" s="136">
        <f t="shared" si="9"/>
        <v>3061.2672512257409</v>
      </c>
      <c r="BK71" s="136">
        <f t="shared" si="10"/>
        <v>40423.578894060876</v>
      </c>
      <c r="BL71" s="168">
        <f t="shared" si="11"/>
        <v>293532.84851238434</v>
      </c>
    </row>
    <row r="72" spans="10:64">
      <c r="R72" s="191">
        <v>59</v>
      </c>
      <c r="S72" s="192">
        <f t="shared" si="7"/>
        <v>85788.309112208095</v>
      </c>
      <c r="T72" s="192"/>
      <c r="U72" s="192">
        <f t="shared" si="2"/>
        <v>85788.309112208095</v>
      </c>
      <c r="V72" s="193">
        <f t="shared" si="3"/>
        <v>43484.84614528661</v>
      </c>
      <c r="W72" s="191">
        <f t="shared" si="4"/>
        <v>786.39283352857422</v>
      </c>
      <c r="X72" s="193">
        <f t="shared" si="5"/>
        <v>42698.453311758036</v>
      </c>
      <c r="Y72" s="193"/>
      <c r="Z72" s="192">
        <f t="shared" si="6"/>
        <v>43089.855800450059</v>
      </c>
      <c r="AD72">
        <f t="shared" si="0"/>
        <v>59</v>
      </c>
      <c r="AE72" s="94">
        <f t="shared" si="1"/>
        <v>43089.855800450059</v>
      </c>
      <c r="BG72">
        <v>54</v>
      </c>
      <c r="BH72" s="168">
        <f t="shared" si="12"/>
        <v>293532.84851238434</v>
      </c>
      <c r="BI72" s="136">
        <f t="shared" si="8"/>
        <v>43484.84614528661</v>
      </c>
      <c r="BJ72" s="136">
        <f t="shared" si="9"/>
        <v>2690.7177780301836</v>
      </c>
      <c r="BK72" s="136">
        <f t="shared" si="10"/>
        <v>40794.128367256424</v>
      </c>
      <c r="BL72" s="168">
        <f t="shared" si="11"/>
        <v>252738.72014512791</v>
      </c>
    </row>
    <row r="73" spans="10:64">
      <c r="R73" s="191">
        <v>60</v>
      </c>
      <c r="S73" s="192">
        <f t="shared" si="7"/>
        <v>43089.855800450059</v>
      </c>
      <c r="T73" s="192"/>
      <c r="U73" s="192">
        <f t="shared" si="2"/>
        <v>43089.855800450059</v>
      </c>
      <c r="V73" s="193">
        <f t="shared" si="3"/>
        <v>43484.84614528661</v>
      </c>
      <c r="W73" s="191">
        <f t="shared" si="4"/>
        <v>394.99034483745891</v>
      </c>
      <c r="X73" s="193">
        <f t="shared" si="5"/>
        <v>43089.85580044915</v>
      </c>
      <c r="Y73" s="193"/>
      <c r="Z73" s="192">
        <f t="shared" si="6"/>
        <v>9.0949470177292824E-10</v>
      </c>
      <c r="AD73">
        <f t="shared" si="0"/>
        <v>60</v>
      </c>
      <c r="AE73" s="94">
        <f>Z73</f>
        <v>9.0949470177292824E-10</v>
      </c>
      <c r="BG73">
        <v>55</v>
      </c>
      <c r="BH73" s="168">
        <f t="shared" si="12"/>
        <v>252738.72014512791</v>
      </c>
      <c r="BI73" s="136">
        <f t="shared" si="8"/>
        <v>43484.84614528661</v>
      </c>
      <c r="BJ73" s="136">
        <f t="shared" si="9"/>
        <v>2316.7716013303329</v>
      </c>
      <c r="BK73" s="136">
        <f t="shared" si="10"/>
        <v>41168.074543956282</v>
      </c>
      <c r="BL73" s="168">
        <f t="shared" si="11"/>
        <v>211570.64560117162</v>
      </c>
    </row>
    <row r="74" spans="10:64" ht="15.5">
      <c r="J74" s="213" t="s">
        <v>254</v>
      </c>
      <c r="K74" s="213"/>
      <c r="BG74">
        <v>56</v>
      </c>
      <c r="BH74" s="168">
        <f t="shared" si="12"/>
        <v>211570.64560117162</v>
      </c>
      <c r="BI74" s="136">
        <f t="shared" si="8"/>
        <v>43484.84614528661</v>
      </c>
      <c r="BJ74" s="136">
        <f t="shared" si="9"/>
        <v>1939.3975846774003</v>
      </c>
      <c r="BK74" s="136">
        <f t="shared" si="10"/>
        <v>41545.448560609213</v>
      </c>
      <c r="BL74" s="168">
        <f t="shared" si="11"/>
        <v>170025.1970405624</v>
      </c>
    </row>
    <row r="75" spans="10:64" ht="15.5">
      <c r="J75" s="8" t="s">
        <v>255</v>
      </c>
      <c r="BG75">
        <v>57</v>
      </c>
      <c r="BH75" s="168">
        <f t="shared" si="12"/>
        <v>170025.1970405624</v>
      </c>
      <c r="BI75" s="136">
        <f t="shared" si="8"/>
        <v>43484.84614528661</v>
      </c>
      <c r="BJ75" s="136">
        <f t="shared" si="9"/>
        <v>1558.564306205149</v>
      </c>
      <c r="BK75" s="136">
        <f t="shared" si="10"/>
        <v>41926.281839081465</v>
      </c>
      <c r="BL75" s="168">
        <f t="shared" si="11"/>
        <v>128098.91520148094</v>
      </c>
    </row>
    <row r="76" spans="10:64">
      <c r="BG76">
        <v>58</v>
      </c>
      <c r="BH76" s="168">
        <f t="shared" si="12"/>
        <v>128098.91520148094</v>
      </c>
      <c r="BI76" s="136">
        <f t="shared" si="8"/>
        <v>43484.84614528661</v>
      </c>
      <c r="BJ76" s="136">
        <f t="shared" si="9"/>
        <v>1174.2400560135691</v>
      </c>
      <c r="BK76" s="136">
        <f t="shared" si="10"/>
        <v>42310.606089273046</v>
      </c>
      <c r="BL76" s="168">
        <f t="shared" si="11"/>
        <v>85788.309112207891</v>
      </c>
    </row>
    <row r="77" spans="10:64">
      <c r="BG77">
        <v>59</v>
      </c>
      <c r="BH77" s="168">
        <f t="shared" si="12"/>
        <v>85788.309112207891</v>
      </c>
      <c r="BI77" s="136">
        <f t="shared" si="8"/>
        <v>43484.84614528661</v>
      </c>
      <c r="BJ77" s="136">
        <f t="shared" si="9"/>
        <v>786.39283352856603</v>
      </c>
      <c r="BK77" s="136">
        <f t="shared" si="10"/>
        <v>42698.45331175805</v>
      </c>
      <c r="BL77" s="168">
        <f t="shared" si="11"/>
        <v>43089.855800449841</v>
      </c>
    </row>
    <row r="78" spans="10:64">
      <c r="BG78">
        <v>60</v>
      </c>
      <c r="BH78" s="168">
        <f t="shared" si="12"/>
        <v>43089.855800449841</v>
      </c>
      <c r="BI78" s="136">
        <f t="shared" si="8"/>
        <v>43484.84614528661</v>
      </c>
      <c r="BJ78" s="136">
        <f t="shared" si="9"/>
        <v>394.99034483745061</v>
      </c>
      <c r="BK78" s="136">
        <f t="shared" si="10"/>
        <v>43089.855800449164</v>
      </c>
      <c r="BL78" s="168">
        <f t="shared" si="11"/>
        <v>6.7666405811905861E-10</v>
      </c>
    </row>
  </sheetData>
  <mergeCells count="5">
    <mergeCell ref="J20:K20"/>
    <mergeCell ref="J22:K22"/>
    <mergeCell ref="J38:K38"/>
    <mergeCell ref="J39:K39"/>
    <mergeCell ref="J74:K74"/>
  </mergeCells>
  <dataValidations count="1">
    <dataValidation type="list" allowBlank="1" showInputMessage="1" showErrorMessage="1" sqref="BF10" xr:uid="{98215CB8-5D94-45D5-B3EE-314CEBBCCB05}">
      <formula1>$BJ$3:$BJ$6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BD1F8-9F46-4B12-838A-FCB74C7D657F}">
  <dimension ref="A1:BD127"/>
  <sheetViews>
    <sheetView tabSelected="1" topLeftCell="AC3" workbookViewId="0">
      <selection activeCell="AK9" sqref="AK9"/>
    </sheetView>
  </sheetViews>
  <sheetFormatPr defaultRowHeight="14.5"/>
  <cols>
    <col min="21" max="21" width="11.1796875" customWidth="1"/>
    <col min="22" max="22" width="33.1796875" customWidth="1"/>
    <col min="23" max="23" width="17.7265625" customWidth="1"/>
    <col min="24" max="24" width="13.1796875" customWidth="1"/>
    <col min="25" max="25" width="14" bestFit="1" customWidth="1"/>
    <col min="26" max="26" width="13.81640625" bestFit="1" customWidth="1"/>
    <col min="27" max="27" width="16.36328125" bestFit="1" customWidth="1"/>
    <col min="28" max="28" width="13.36328125" bestFit="1" customWidth="1"/>
    <col min="29" max="29" width="15" bestFit="1" customWidth="1"/>
    <col min="30" max="30" width="19.453125" bestFit="1" customWidth="1"/>
    <col min="31" max="31" width="12.453125" customWidth="1"/>
    <col min="35" max="35" width="23.08984375" bestFit="1" customWidth="1"/>
    <col min="36" max="36" width="17.54296875" customWidth="1"/>
    <col min="37" max="37" width="15.26953125" bestFit="1" customWidth="1"/>
    <col min="41" max="41" width="23.7265625" bestFit="1" customWidth="1"/>
    <col min="42" max="42" width="12.7265625" bestFit="1" customWidth="1"/>
    <col min="43" max="43" width="14.26953125" bestFit="1" customWidth="1"/>
    <col min="44" max="45" width="10.08984375" customWidth="1"/>
    <col min="47" max="47" width="10" bestFit="1" customWidth="1"/>
    <col min="50" max="50" width="23.7265625" bestFit="1" customWidth="1"/>
    <col min="51" max="53" width="10" bestFit="1" customWidth="1"/>
    <col min="55" max="55" width="10" bestFit="1" customWidth="1"/>
    <col min="56" max="56" width="10.6328125" bestFit="1" customWidth="1"/>
  </cols>
  <sheetData>
    <row r="1" spans="1:56" ht="21">
      <c r="A1" s="219" t="s">
        <v>62</v>
      </c>
      <c r="B1" s="219"/>
      <c r="C1" s="219"/>
      <c r="D1" s="219"/>
      <c r="E1" s="219"/>
      <c r="F1" s="219"/>
      <c r="G1" s="219"/>
      <c r="H1" s="15"/>
      <c r="I1" s="15"/>
      <c r="J1" s="15"/>
      <c r="K1" s="15"/>
      <c r="L1" s="15"/>
      <c r="M1" s="15"/>
      <c r="N1" s="15"/>
      <c r="O1" s="15"/>
    </row>
    <row r="2" spans="1:56" ht="20.5">
      <c r="A2" s="16" t="s">
        <v>63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V2" s="16" t="s">
        <v>559</v>
      </c>
      <c r="W2" s="197">
        <v>5700000</v>
      </c>
      <c r="X2" s="16"/>
      <c r="Y2" s="16"/>
      <c r="Z2" s="16"/>
      <c r="AA2" s="16"/>
      <c r="AB2" s="16"/>
      <c r="AC2" s="16"/>
      <c r="AD2" s="16"/>
      <c r="AI2" t="s">
        <v>577</v>
      </c>
      <c r="AJ2" t="s">
        <v>578</v>
      </c>
      <c r="AO2" t="s">
        <v>511</v>
      </c>
      <c r="AP2" s="94">
        <v>5700000</v>
      </c>
      <c r="AX2" t="s">
        <v>511</v>
      </c>
      <c r="AY2" s="94">
        <v>5700000</v>
      </c>
    </row>
    <row r="3" spans="1:56" ht="20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V3" s="16" t="s">
        <v>560</v>
      </c>
      <c r="W3" s="198">
        <v>0.125</v>
      </c>
      <c r="X3" s="16"/>
      <c r="Y3" s="16"/>
      <c r="Z3" s="16"/>
      <c r="AA3" s="16"/>
      <c r="AB3" s="16"/>
      <c r="AC3" s="16"/>
      <c r="AD3" s="16"/>
      <c r="AO3" t="s">
        <v>568</v>
      </c>
      <c r="AP3" s="169">
        <v>0.125</v>
      </c>
      <c r="AX3" t="s">
        <v>568</v>
      </c>
      <c r="AY3" s="169">
        <v>0.125</v>
      </c>
    </row>
    <row r="4" spans="1:56" ht="20.5">
      <c r="A4" s="17" t="s">
        <v>30</v>
      </c>
      <c r="B4" s="16" t="s">
        <v>64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V4" s="16" t="s">
        <v>561</v>
      </c>
      <c r="W4" s="16">
        <v>10</v>
      </c>
      <c r="X4" s="16"/>
      <c r="Y4" s="16"/>
      <c r="Z4" s="16"/>
      <c r="AA4" s="16"/>
      <c r="AB4" s="16"/>
      <c r="AC4" s="16"/>
      <c r="AD4" s="16"/>
      <c r="AI4" t="s">
        <v>579</v>
      </c>
      <c r="AJ4" t="s">
        <v>580</v>
      </c>
      <c r="AK4" t="s">
        <v>581</v>
      </c>
      <c r="AO4" t="s">
        <v>399</v>
      </c>
      <c r="AP4">
        <v>10</v>
      </c>
      <c r="AX4" t="s">
        <v>399</v>
      </c>
      <c r="AY4">
        <v>10</v>
      </c>
    </row>
    <row r="5" spans="1:56" ht="20.5">
      <c r="A5" s="17" t="s">
        <v>32</v>
      </c>
      <c r="B5" s="16" t="s">
        <v>65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V5" s="16" t="s">
        <v>513</v>
      </c>
      <c r="W5" s="16" t="s">
        <v>562</v>
      </c>
      <c r="AO5" t="s">
        <v>572</v>
      </c>
      <c r="AX5" t="s">
        <v>576</v>
      </c>
    </row>
    <row r="6" spans="1:56" ht="20.5">
      <c r="A6" s="17" t="s">
        <v>34</v>
      </c>
      <c r="B6" s="16" t="s">
        <v>66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AJ6" t="s">
        <v>582</v>
      </c>
    </row>
    <row r="7" spans="1:56" ht="20.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W7" s="199" t="s">
        <v>534</v>
      </c>
      <c r="X7" s="199" t="s">
        <v>567</v>
      </c>
      <c r="Y7" s="199" t="s">
        <v>563</v>
      </c>
      <c r="Z7" s="199" t="s">
        <v>564</v>
      </c>
      <c r="AA7" s="199" t="s">
        <v>566</v>
      </c>
      <c r="AB7" s="199" t="s">
        <v>546</v>
      </c>
      <c r="AC7" s="199" t="s">
        <v>547</v>
      </c>
      <c r="AD7" s="199" t="s">
        <v>565</v>
      </c>
      <c r="AE7" s="199" t="s">
        <v>535</v>
      </c>
      <c r="AJ7" t="s">
        <v>583</v>
      </c>
      <c r="AO7" t="s">
        <v>550</v>
      </c>
      <c r="AP7" s="94">
        <f>-PMT(AP3,AP4,AP2,0,1)</f>
        <v>915150.36176669993</v>
      </c>
      <c r="AQ7" s="94"/>
      <c r="AX7" t="s">
        <v>550</v>
      </c>
      <c r="AY7" s="94">
        <f>-PMT(AY3,AY4,AY2,0,0)</f>
        <v>1029544.1569875375</v>
      </c>
    </row>
    <row r="8" spans="1:56" ht="20.5">
      <c r="A8" s="14" t="s">
        <v>67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U8" t="s">
        <v>511</v>
      </c>
      <c r="V8" s="94">
        <v>5700000</v>
      </c>
      <c r="W8">
        <v>1</v>
      </c>
      <c r="X8" s="94">
        <f>$V$8</f>
        <v>5700000</v>
      </c>
      <c r="Y8" s="94"/>
      <c r="Z8" s="94">
        <f>X8+Y8</f>
        <v>5700000</v>
      </c>
      <c r="AA8" s="94">
        <f>-PMT($V$9/12,$V$10,$V$8,0,0)</f>
        <v>83434.416143614653</v>
      </c>
      <c r="AB8" s="94">
        <f>($V$9/12)*Z8</f>
        <v>59375</v>
      </c>
      <c r="AC8" s="94">
        <f>AA8-AB8</f>
        <v>24059.416143614653</v>
      </c>
      <c r="AD8" s="94"/>
      <c r="AE8" s="94">
        <f>Z8-AC8-AD8</f>
        <v>5675940.5838563852</v>
      </c>
      <c r="AJ8" t="s">
        <v>584</v>
      </c>
    </row>
    <row r="9" spans="1:56" ht="24">
      <c r="A9" s="17" t="s">
        <v>278</v>
      </c>
      <c r="B9" s="16"/>
      <c r="C9" s="16"/>
      <c r="D9" s="16"/>
      <c r="E9" s="16"/>
      <c r="F9" s="16"/>
      <c r="G9" s="15"/>
      <c r="H9" s="16"/>
      <c r="I9" s="16"/>
      <c r="J9" s="16"/>
      <c r="K9" s="16"/>
      <c r="L9" s="16"/>
      <c r="M9" s="15"/>
      <c r="N9" s="16"/>
      <c r="O9" s="16"/>
      <c r="U9" t="s">
        <v>568</v>
      </c>
      <c r="V9" s="169">
        <v>0.125</v>
      </c>
      <c r="W9">
        <v>2</v>
      </c>
      <c r="X9" s="136">
        <f>AE8</f>
        <v>5675940.5838563852</v>
      </c>
      <c r="Y9" s="136"/>
      <c r="Z9" s="94">
        <f>X9+Y9</f>
        <v>5675940.5838563852</v>
      </c>
      <c r="AA9" s="94">
        <f t="shared" ref="AA9:AA27" si="0">-PMT($V$9/12,$V$10,$V$8,0,0)</f>
        <v>83434.416143614653</v>
      </c>
      <c r="AB9" s="94">
        <f t="shared" ref="AB9:AB27" si="1">($V$9/12)*Z9</f>
        <v>59124.381081837346</v>
      </c>
      <c r="AC9" s="94">
        <f t="shared" ref="AC9:AC72" si="2">AA9-AB9</f>
        <v>24310.035061777307</v>
      </c>
      <c r="AD9" s="94"/>
      <c r="AE9" s="94">
        <f t="shared" ref="AE9:AE72" si="3">Z9-AC9-AD9</f>
        <v>5651630.5487946076</v>
      </c>
      <c r="AJ9" t="s">
        <v>585</v>
      </c>
      <c r="AP9" s="191" t="s">
        <v>541</v>
      </c>
      <c r="AQ9" s="191" t="s">
        <v>450</v>
      </c>
      <c r="AR9" s="191" t="s">
        <v>573</v>
      </c>
      <c r="AS9" s="191" t="s">
        <v>574</v>
      </c>
      <c r="AT9" s="191" t="s">
        <v>575</v>
      </c>
      <c r="AU9" s="191" t="s">
        <v>535</v>
      </c>
      <c r="AY9" s="191" t="s">
        <v>541</v>
      </c>
      <c r="AZ9" s="191" t="s">
        <v>450</v>
      </c>
      <c r="BA9" s="191" t="s">
        <v>573</v>
      </c>
      <c r="BB9" s="191" t="s">
        <v>574</v>
      </c>
      <c r="BC9" s="191" t="s">
        <v>575</v>
      </c>
      <c r="BD9" s="191" t="s">
        <v>535</v>
      </c>
    </row>
    <row r="10" spans="1:56" ht="20.5">
      <c r="A10" s="16"/>
      <c r="B10" s="16" t="s">
        <v>68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U10" t="s">
        <v>534</v>
      </c>
      <c r="V10">
        <v>120</v>
      </c>
      <c r="W10">
        <v>3</v>
      </c>
      <c r="X10" s="136">
        <f t="shared" ref="X10:X73" si="4">AE9</f>
        <v>5651630.5487946076</v>
      </c>
      <c r="Y10" s="136"/>
      <c r="Z10" s="94">
        <f t="shared" ref="Z10:Z72" si="5">X10+Y10</f>
        <v>5651630.5487946076</v>
      </c>
      <c r="AA10" s="94">
        <f t="shared" si="0"/>
        <v>83434.416143614653</v>
      </c>
      <c r="AB10" s="94">
        <f t="shared" si="1"/>
        <v>58871.151549943825</v>
      </c>
      <c r="AC10" s="94">
        <f t="shared" si="2"/>
        <v>24563.264593670829</v>
      </c>
      <c r="AD10" s="94"/>
      <c r="AE10" s="94">
        <f t="shared" si="3"/>
        <v>5627067.2842009366</v>
      </c>
      <c r="AP10" s="191">
        <v>1</v>
      </c>
      <c r="AQ10" s="221">
        <f>AP2</f>
        <v>5700000</v>
      </c>
      <c r="AR10" s="221">
        <f>$AP$7</f>
        <v>915150.36176669993</v>
      </c>
      <c r="AS10" s="221"/>
      <c r="AT10" s="221">
        <f>AR10-AS10</f>
        <v>915150.36176669993</v>
      </c>
      <c r="AU10" s="221">
        <f>AQ10-AT10</f>
        <v>4784849.6382333003</v>
      </c>
      <c r="AY10" s="191">
        <v>1</v>
      </c>
      <c r="AZ10" s="221">
        <f>AY2</f>
        <v>5700000</v>
      </c>
      <c r="BA10" s="221">
        <f>$AY$7</f>
        <v>1029544.1569875375</v>
      </c>
      <c r="BB10" s="191">
        <f>$AY$3*AZ10</f>
        <v>712500</v>
      </c>
      <c r="BC10" s="221">
        <f>BA10-BB10</f>
        <v>317044.15698753751</v>
      </c>
      <c r="BD10" s="221">
        <f>AZ10-BC10</f>
        <v>5382955.8430124624</v>
      </c>
    </row>
    <row r="11" spans="1:56" ht="20.5">
      <c r="A11" s="17" t="s">
        <v>32</v>
      </c>
      <c r="B11" s="16" t="s">
        <v>69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W11">
        <v>4</v>
      </c>
      <c r="X11" s="136">
        <f t="shared" si="4"/>
        <v>5627067.2842009366</v>
      </c>
      <c r="Y11" s="136"/>
      <c r="Z11" s="94">
        <f t="shared" si="5"/>
        <v>5627067.2842009366</v>
      </c>
      <c r="AA11" s="94">
        <f t="shared" si="0"/>
        <v>83434.416143614653</v>
      </c>
      <c r="AB11" s="94">
        <f t="shared" si="1"/>
        <v>58615.28421042642</v>
      </c>
      <c r="AC11" s="94">
        <f t="shared" si="2"/>
        <v>24819.131933188233</v>
      </c>
      <c r="AD11" s="94"/>
      <c r="AE11" s="94">
        <f t="shared" si="3"/>
        <v>5602248.1522677485</v>
      </c>
      <c r="AP11" s="191">
        <v>2</v>
      </c>
      <c r="AQ11" s="221">
        <f>AU10</f>
        <v>4784849.6382333003</v>
      </c>
      <c r="AR11" s="221">
        <f t="shared" ref="AR11:AR19" si="6">$AP$7</f>
        <v>915150.36176669993</v>
      </c>
      <c r="AS11" s="221">
        <f>$AP$3*AQ11</f>
        <v>598106.20477916254</v>
      </c>
      <c r="AT11" s="221">
        <f t="shared" ref="AT11:AT19" si="7">AR11-AS11</f>
        <v>317044.1569875374</v>
      </c>
      <c r="AU11" s="221">
        <f t="shared" ref="AU11:AU19" si="8">AQ11-AT11</f>
        <v>4467805.4812457627</v>
      </c>
      <c r="AX11" s="136"/>
      <c r="AY11" s="191">
        <v>2</v>
      </c>
      <c r="AZ11" s="221">
        <f>BD10</f>
        <v>5382955.8430124624</v>
      </c>
      <c r="BA11" s="221">
        <f t="shared" ref="BA11:BA19" si="9">$AY$7</f>
        <v>1029544.1569875375</v>
      </c>
      <c r="BB11" s="191">
        <f t="shared" ref="BB11:BB19" si="10">$AY$3*AZ11</f>
        <v>672869.4803765578</v>
      </c>
      <c r="BC11" s="221">
        <f t="shared" ref="BC11:BC19" si="11">BA11-BB11</f>
        <v>356674.67661097972</v>
      </c>
      <c r="BD11" s="221">
        <f t="shared" ref="BD11:BD19" si="12">AZ11-BC11</f>
        <v>5026281.1664014831</v>
      </c>
    </row>
    <row r="12" spans="1:56" ht="20.5">
      <c r="A12" s="17" t="s">
        <v>34</v>
      </c>
      <c r="B12" s="16" t="s">
        <v>70</v>
      </c>
      <c r="C12" s="16"/>
      <c r="D12" s="16"/>
      <c r="E12" s="16"/>
      <c r="F12" s="16"/>
      <c r="G12" s="16"/>
      <c r="H12" s="16"/>
      <c r="I12" s="20"/>
      <c r="J12" s="16"/>
      <c r="K12" s="16"/>
      <c r="L12" s="16"/>
      <c r="M12" s="16"/>
      <c r="N12" s="16"/>
      <c r="O12" s="16"/>
      <c r="W12">
        <v>5</v>
      </c>
      <c r="X12" s="136">
        <f t="shared" si="4"/>
        <v>5602248.1522677485</v>
      </c>
      <c r="Y12" s="136"/>
      <c r="Z12" s="94">
        <f t="shared" si="5"/>
        <v>5602248.1522677485</v>
      </c>
      <c r="AA12" s="94">
        <f t="shared" si="0"/>
        <v>83434.416143614653</v>
      </c>
      <c r="AB12" s="94">
        <f t="shared" si="1"/>
        <v>58356.75158612238</v>
      </c>
      <c r="AC12" s="94">
        <f t="shared" si="2"/>
        <v>25077.664557492273</v>
      </c>
      <c r="AD12" s="94"/>
      <c r="AE12" s="94">
        <f t="shared" si="3"/>
        <v>5577170.4877102561</v>
      </c>
      <c r="AP12" s="191">
        <v>3</v>
      </c>
      <c r="AQ12" s="221">
        <f>AU11</f>
        <v>4467805.4812457627</v>
      </c>
      <c r="AR12" s="221">
        <f t="shared" si="6"/>
        <v>915150.36176669993</v>
      </c>
      <c r="AS12" s="221">
        <f t="shared" ref="AS12:AS19" si="13">$AP$3*AQ12</f>
        <v>558475.68515572033</v>
      </c>
      <c r="AT12" s="221">
        <f t="shared" si="7"/>
        <v>356674.6766109796</v>
      </c>
      <c r="AU12" s="221">
        <f t="shared" si="8"/>
        <v>4111130.804634783</v>
      </c>
      <c r="AX12" s="168"/>
      <c r="AY12" s="191">
        <v>3</v>
      </c>
      <c r="AZ12" s="221">
        <f t="shared" ref="AZ12:AZ19" si="14">BD11</f>
        <v>5026281.1664014831</v>
      </c>
      <c r="BA12" s="221">
        <f t="shared" si="9"/>
        <v>1029544.1569875375</v>
      </c>
      <c r="BB12" s="191">
        <f t="shared" si="10"/>
        <v>628285.14580018539</v>
      </c>
      <c r="BC12" s="221">
        <f t="shared" si="11"/>
        <v>401259.01118735212</v>
      </c>
      <c r="BD12" s="221">
        <f t="shared" si="12"/>
        <v>4625022.1552141309</v>
      </c>
    </row>
    <row r="13" spans="1:56" ht="20.5">
      <c r="A13" s="17" t="s">
        <v>37</v>
      </c>
      <c r="B13" s="16" t="s">
        <v>71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W13">
        <v>6</v>
      </c>
      <c r="X13" s="136">
        <f t="shared" si="4"/>
        <v>5577170.4877102561</v>
      </c>
      <c r="Y13" s="136"/>
      <c r="Z13" s="94">
        <f t="shared" si="5"/>
        <v>5577170.4877102561</v>
      </c>
      <c r="AA13" s="94">
        <f t="shared" si="0"/>
        <v>83434.416143614653</v>
      </c>
      <c r="AB13" s="94">
        <f t="shared" si="1"/>
        <v>58095.525913648496</v>
      </c>
      <c r="AC13" s="94">
        <f t="shared" si="2"/>
        <v>25338.890229966157</v>
      </c>
      <c r="AD13" s="94"/>
      <c r="AE13" s="94">
        <f t="shared" si="3"/>
        <v>5551831.5974802896</v>
      </c>
      <c r="AP13" s="191">
        <v>4</v>
      </c>
      <c r="AQ13" s="221">
        <f t="shared" ref="AQ13:AQ19" si="15">AU12</f>
        <v>4111130.804634783</v>
      </c>
      <c r="AR13" s="221">
        <f t="shared" si="6"/>
        <v>915150.36176669993</v>
      </c>
      <c r="AS13" s="221">
        <f t="shared" si="13"/>
        <v>513891.35057934787</v>
      </c>
      <c r="AT13" s="221">
        <f t="shared" si="7"/>
        <v>401259.01118735207</v>
      </c>
      <c r="AU13" s="221">
        <f t="shared" si="8"/>
        <v>3709871.7934474307</v>
      </c>
      <c r="AY13" s="191">
        <v>4</v>
      </c>
      <c r="AZ13" s="221">
        <f t="shared" si="14"/>
        <v>4625022.1552141309</v>
      </c>
      <c r="BA13" s="221">
        <f t="shared" si="9"/>
        <v>1029544.1569875375</v>
      </c>
      <c r="BB13" s="191">
        <f t="shared" si="10"/>
        <v>578127.76940176636</v>
      </c>
      <c r="BC13" s="221">
        <f t="shared" si="11"/>
        <v>451416.38758577115</v>
      </c>
      <c r="BD13" s="221">
        <f t="shared" si="12"/>
        <v>4173605.7676283596</v>
      </c>
    </row>
    <row r="14" spans="1:56" ht="20.5">
      <c r="A14" s="17" t="s">
        <v>39</v>
      </c>
      <c r="B14" s="16" t="s">
        <v>72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W14">
        <v>7</v>
      </c>
      <c r="X14" s="136">
        <f t="shared" si="4"/>
        <v>5551831.5974802896</v>
      </c>
      <c r="Y14" s="136"/>
      <c r="Z14" s="94">
        <f t="shared" si="5"/>
        <v>5551831.5974802896</v>
      </c>
      <c r="AA14" s="94">
        <f t="shared" si="0"/>
        <v>83434.416143614653</v>
      </c>
      <c r="AB14" s="94">
        <f t="shared" si="1"/>
        <v>57831.579140419679</v>
      </c>
      <c r="AC14" s="94">
        <f t="shared" si="2"/>
        <v>25602.837003194974</v>
      </c>
      <c r="AD14" s="94"/>
      <c r="AE14" s="94">
        <f t="shared" si="3"/>
        <v>5526228.7604770949</v>
      </c>
      <c r="AP14" s="191">
        <v>5</v>
      </c>
      <c r="AQ14" s="221">
        <f t="shared" si="15"/>
        <v>3709871.7934474307</v>
      </c>
      <c r="AR14" s="221">
        <f t="shared" si="6"/>
        <v>915150.36176669993</v>
      </c>
      <c r="AS14" s="221">
        <f t="shared" si="13"/>
        <v>463733.97418092884</v>
      </c>
      <c r="AT14" s="221">
        <f t="shared" si="7"/>
        <v>451416.3875857711</v>
      </c>
      <c r="AU14" s="221">
        <f t="shared" si="8"/>
        <v>3258455.4058616594</v>
      </c>
      <c r="AY14" s="191">
        <v>5</v>
      </c>
      <c r="AZ14" s="221">
        <f t="shared" si="14"/>
        <v>4173605.7676283596</v>
      </c>
      <c r="BA14" s="221">
        <f t="shared" si="9"/>
        <v>1029544.1569875375</v>
      </c>
      <c r="BB14" s="191">
        <f t="shared" si="10"/>
        <v>521700.72095354495</v>
      </c>
      <c r="BC14" s="221">
        <f t="shared" si="11"/>
        <v>507843.43603399256</v>
      </c>
      <c r="BD14" s="221">
        <f t="shared" si="12"/>
        <v>3665762.331594367</v>
      </c>
    </row>
    <row r="15" spans="1:56" ht="20.5">
      <c r="A15" s="16"/>
      <c r="B15" s="16" t="s">
        <v>571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W15">
        <v>8</v>
      </c>
      <c r="X15" s="136">
        <f t="shared" si="4"/>
        <v>5526228.7604770949</v>
      </c>
      <c r="Y15" s="136"/>
      <c r="Z15" s="94">
        <f t="shared" si="5"/>
        <v>5526228.7604770949</v>
      </c>
      <c r="AA15" s="94">
        <f t="shared" si="0"/>
        <v>83434.416143614653</v>
      </c>
      <c r="AB15" s="94">
        <f t="shared" si="1"/>
        <v>57564.882921636403</v>
      </c>
      <c r="AC15" s="94">
        <f t="shared" si="2"/>
        <v>25869.53322197825</v>
      </c>
      <c r="AD15" s="94"/>
      <c r="AE15" s="94">
        <f t="shared" si="3"/>
        <v>5500359.2272551162</v>
      </c>
      <c r="AP15" s="191">
        <v>6</v>
      </c>
      <c r="AQ15" s="221">
        <f t="shared" si="15"/>
        <v>3258455.4058616594</v>
      </c>
      <c r="AR15" s="221">
        <f t="shared" si="6"/>
        <v>915150.36176669993</v>
      </c>
      <c r="AS15" s="221">
        <f t="shared" si="13"/>
        <v>407306.92573270743</v>
      </c>
      <c r="AT15" s="221">
        <f t="shared" si="7"/>
        <v>507843.4360339925</v>
      </c>
      <c r="AU15" s="221">
        <f t="shared" si="8"/>
        <v>2750611.9698276669</v>
      </c>
      <c r="AY15" s="191">
        <v>6</v>
      </c>
      <c r="AZ15" s="221">
        <f t="shared" si="14"/>
        <v>3665762.331594367</v>
      </c>
      <c r="BA15" s="221">
        <f t="shared" si="9"/>
        <v>1029544.1569875375</v>
      </c>
      <c r="BB15" s="191">
        <f t="shared" si="10"/>
        <v>458220.29144929588</v>
      </c>
      <c r="BC15" s="221">
        <f t="shared" si="11"/>
        <v>571323.86553824157</v>
      </c>
      <c r="BD15" s="221">
        <f t="shared" si="12"/>
        <v>3094438.4660561252</v>
      </c>
    </row>
    <row r="16" spans="1:56" ht="20.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W16">
        <v>9</v>
      </c>
      <c r="X16" s="136">
        <f t="shared" si="4"/>
        <v>5500359.2272551162</v>
      </c>
      <c r="Y16" s="136"/>
      <c r="Z16" s="94">
        <f t="shared" si="5"/>
        <v>5500359.2272551162</v>
      </c>
      <c r="AA16" s="94">
        <f t="shared" si="0"/>
        <v>83434.416143614653</v>
      </c>
      <c r="AB16" s="94">
        <f t="shared" si="1"/>
        <v>57295.408617240792</v>
      </c>
      <c r="AC16" s="94">
        <f t="shared" si="2"/>
        <v>26139.007526373862</v>
      </c>
      <c r="AD16" s="94"/>
      <c r="AE16" s="94">
        <f t="shared" si="3"/>
        <v>5474220.2197287427</v>
      </c>
      <c r="AP16" s="191">
        <v>7</v>
      </c>
      <c r="AQ16" s="221">
        <f t="shared" si="15"/>
        <v>2750611.9698276669</v>
      </c>
      <c r="AR16" s="221">
        <f t="shared" si="6"/>
        <v>915150.36176669993</v>
      </c>
      <c r="AS16" s="221">
        <f t="shared" si="13"/>
        <v>343826.49622845836</v>
      </c>
      <c r="AT16" s="221">
        <f t="shared" si="7"/>
        <v>571323.86553824157</v>
      </c>
      <c r="AU16" s="221">
        <f t="shared" si="8"/>
        <v>2179288.1042894255</v>
      </c>
      <c r="AY16" s="191">
        <v>7</v>
      </c>
      <c r="AZ16" s="221">
        <f t="shared" si="14"/>
        <v>3094438.4660561252</v>
      </c>
      <c r="BA16" s="221">
        <f t="shared" si="9"/>
        <v>1029544.1569875375</v>
      </c>
      <c r="BB16" s="191">
        <f t="shared" si="10"/>
        <v>386804.80825701565</v>
      </c>
      <c r="BC16" s="221">
        <f t="shared" si="11"/>
        <v>642739.34873052186</v>
      </c>
      <c r="BD16" s="221">
        <f t="shared" si="12"/>
        <v>2451699.1173256035</v>
      </c>
    </row>
    <row r="17" spans="1:56" ht="20.5">
      <c r="A17" s="21" t="s">
        <v>73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W17">
        <v>10</v>
      </c>
      <c r="X17" s="136">
        <f t="shared" si="4"/>
        <v>5474220.2197287427</v>
      </c>
      <c r="Y17" s="136"/>
      <c r="Z17" s="94">
        <f t="shared" si="5"/>
        <v>5474220.2197287427</v>
      </c>
      <c r="AA17" s="94">
        <f t="shared" si="0"/>
        <v>83434.416143614653</v>
      </c>
      <c r="AB17" s="94">
        <f t="shared" si="1"/>
        <v>57023.127288841068</v>
      </c>
      <c r="AC17" s="94">
        <f t="shared" si="2"/>
        <v>26411.288854773586</v>
      </c>
      <c r="AD17" s="94"/>
      <c r="AE17" s="94">
        <f t="shared" si="3"/>
        <v>5447808.9308739696</v>
      </c>
      <c r="AP17" s="191">
        <v>8</v>
      </c>
      <c r="AQ17" s="221">
        <f t="shared" si="15"/>
        <v>2179288.1042894255</v>
      </c>
      <c r="AR17" s="221">
        <f t="shared" si="6"/>
        <v>915150.36176669993</v>
      </c>
      <c r="AS17" s="221">
        <f t="shared" si="13"/>
        <v>272411.01303617819</v>
      </c>
      <c r="AT17" s="221">
        <f t="shared" si="7"/>
        <v>642739.34873052174</v>
      </c>
      <c r="AU17" s="221">
        <f t="shared" si="8"/>
        <v>1536548.7555589038</v>
      </c>
      <c r="AY17" s="191">
        <v>8</v>
      </c>
      <c r="AZ17" s="221">
        <f t="shared" si="14"/>
        <v>2451699.1173256035</v>
      </c>
      <c r="BA17" s="221">
        <f t="shared" si="9"/>
        <v>1029544.1569875375</v>
      </c>
      <c r="BB17" s="191">
        <f t="shared" si="10"/>
        <v>306462.38966570044</v>
      </c>
      <c r="BC17" s="221">
        <f t="shared" si="11"/>
        <v>723081.76732183713</v>
      </c>
      <c r="BD17" s="221">
        <f t="shared" si="12"/>
        <v>1728617.3500037664</v>
      </c>
    </row>
    <row r="18" spans="1:56" ht="20.5">
      <c r="A18" s="22" t="s">
        <v>74</v>
      </c>
      <c r="B18" s="16"/>
      <c r="C18" s="16"/>
      <c r="D18" s="16"/>
      <c r="E18" s="16"/>
      <c r="F18" s="16"/>
      <c r="G18" s="16"/>
      <c r="H18" s="16"/>
      <c r="I18" s="22"/>
      <c r="J18" s="16"/>
      <c r="K18" s="16"/>
      <c r="L18" s="16"/>
      <c r="M18" s="16"/>
      <c r="N18" s="23"/>
      <c r="O18" s="16"/>
      <c r="W18">
        <v>11</v>
      </c>
      <c r="X18" s="136">
        <f t="shared" si="4"/>
        <v>5447808.9308739696</v>
      </c>
      <c r="Y18" s="136"/>
      <c r="Z18" s="94">
        <f t="shared" si="5"/>
        <v>5447808.9308739696</v>
      </c>
      <c r="AA18" s="94">
        <f t="shared" si="0"/>
        <v>83434.416143614653</v>
      </c>
      <c r="AB18" s="94">
        <f t="shared" si="1"/>
        <v>56748.009696603847</v>
      </c>
      <c r="AC18" s="94">
        <f t="shared" si="2"/>
        <v>26686.406447010806</v>
      </c>
      <c r="AD18" s="94"/>
      <c r="AE18" s="94">
        <f t="shared" si="3"/>
        <v>5421122.5244269585</v>
      </c>
      <c r="AP18" s="191">
        <v>9</v>
      </c>
      <c r="AQ18" s="221">
        <f t="shared" si="15"/>
        <v>1536548.7555589038</v>
      </c>
      <c r="AR18" s="221">
        <f t="shared" si="6"/>
        <v>915150.36176669993</v>
      </c>
      <c r="AS18" s="221">
        <f t="shared" si="13"/>
        <v>192068.59444486297</v>
      </c>
      <c r="AT18" s="221">
        <f t="shared" si="7"/>
        <v>723081.7673218369</v>
      </c>
      <c r="AU18" s="221">
        <f t="shared" si="8"/>
        <v>813466.98823706689</v>
      </c>
      <c r="AY18" s="191">
        <v>9</v>
      </c>
      <c r="AZ18" s="221">
        <f t="shared" si="14"/>
        <v>1728617.3500037664</v>
      </c>
      <c r="BA18" s="221">
        <f t="shared" si="9"/>
        <v>1029544.1569875375</v>
      </c>
      <c r="BB18" s="191">
        <f t="shared" si="10"/>
        <v>216077.1687504708</v>
      </c>
      <c r="BC18" s="221">
        <f t="shared" si="11"/>
        <v>813466.98823706666</v>
      </c>
      <c r="BD18" s="221">
        <f t="shared" si="12"/>
        <v>915150.3617666997</v>
      </c>
    </row>
    <row r="19" spans="1:56" ht="21">
      <c r="A19" s="15"/>
      <c r="B19" s="15"/>
      <c r="C19" s="15"/>
      <c r="D19" s="15"/>
      <c r="E19" s="15"/>
      <c r="F19" s="15"/>
      <c r="G19" s="15"/>
      <c r="H19" s="15"/>
      <c r="I19" s="15"/>
      <c r="J19" s="24" t="s">
        <v>75</v>
      </c>
      <c r="K19" s="24"/>
      <c r="L19" s="15"/>
      <c r="O19" s="15"/>
      <c r="P19" s="21" t="s">
        <v>76</v>
      </c>
      <c r="W19">
        <v>12</v>
      </c>
      <c r="X19" s="136">
        <f t="shared" si="4"/>
        <v>5421122.5244269585</v>
      </c>
      <c r="Y19" s="136"/>
      <c r="Z19" s="94">
        <f t="shared" si="5"/>
        <v>5421122.5244269585</v>
      </c>
      <c r="AA19" s="94">
        <f t="shared" si="0"/>
        <v>83434.416143614653</v>
      </c>
      <c r="AB19" s="94">
        <f t="shared" si="1"/>
        <v>56470.026296114149</v>
      </c>
      <c r="AC19" s="94">
        <f t="shared" si="2"/>
        <v>26964.389847500504</v>
      </c>
      <c r="AD19" s="94"/>
      <c r="AE19" s="94">
        <f t="shared" si="3"/>
        <v>5394158.1345794583</v>
      </c>
      <c r="AP19" s="191">
        <v>10</v>
      </c>
      <c r="AQ19" s="221">
        <f t="shared" si="15"/>
        <v>813466.98823706689</v>
      </c>
      <c r="AR19" s="221">
        <f t="shared" si="6"/>
        <v>915150.36176669993</v>
      </c>
      <c r="AS19" s="221">
        <f t="shared" si="13"/>
        <v>101683.37352963336</v>
      </c>
      <c r="AT19" s="221">
        <f t="shared" si="7"/>
        <v>813466.98823706654</v>
      </c>
      <c r="AU19" s="221">
        <f t="shared" si="8"/>
        <v>0</v>
      </c>
      <c r="AY19" s="191">
        <v>10</v>
      </c>
      <c r="AZ19" s="221">
        <f t="shared" si="14"/>
        <v>915150.3617666997</v>
      </c>
      <c r="BA19" s="221">
        <f t="shared" si="9"/>
        <v>1029544.1569875375</v>
      </c>
      <c r="BB19" s="191">
        <f t="shared" si="10"/>
        <v>114393.79522083746</v>
      </c>
      <c r="BC19" s="221">
        <f t="shared" si="11"/>
        <v>915150.36176670005</v>
      </c>
      <c r="BD19" s="221">
        <f t="shared" si="12"/>
        <v>0</v>
      </c>
    </row>
    <row r="20" spans="1:56">
      <c r="W20">
        <v>13</v>
      </c>
      <c r="X20" s="136">
        <f t="shared" si="4"/>
        <v>5394158.1345794583</v>
      </c>
      <c r="Y20" s="136"/>
      <c r="Z20" s="94">
        <f t="shared" si="5"/>
        <v>5394158.1345794583</v>
      </c>
      <c r="AA20" s="94">
        <f t="shared" si="0"/>
        <v>83434.416143614653</v>
      </c>
      <c r="AB20" s="94">
        <f t="shared" si="1"/>
        <v>56189.14723520269</v>
      </c>
      <c r="AC20" s="94">
        <f t="shared" si="2"/>
        <v>27245.268908411963</v>
      </c>
      <c r="AD20" s="94"/>
      <c r="AE20" s="94">
        <f t="shared" si="3"/>
        <v>5366912.8656710461</v>
      </c>
    </row>
    <row r="21" spans="1:56">
      <c r="W21">
        <v>14</v>
      </c>
      <c r="X21" s="136">
        <f t="shared" si="4"/>
        <v>5366912.8656710461</v>
      </c>
      <c r="Y21" s="136"/>
      <c r="Z21" s="94">
        <f t="shared" si="5"/>
        <v>5366912.8656710461</v>
      </c>
      <c r="AA21" s="94">
        <f t="shared" si="0"/>
        <v>83434.416143614653</v>
      </c>
      <c r="AB21" s="94">
        <f t="shared" si="1"/>
        <v>55905.342350740058</v>
      </c>
      <c r="AC21" s="94">
        <f t="shared" si="2"/>
        <v>27529.073792874595</v>
      </c>
      <c r="AD21" s="94"/>
      <c r="AE21" s="94">
        <f t="shared" si="3"/>
        <v>5339383.7918781713</v>
      </c>
    </row>
    <row r="22" spans="1:56">
      <c r="W22">
        <v>15</v>
      </c>
      <c r="X22" s="136">
        <f t="shared" si="4"/>
        <v>5339383.7918781713</v>
      </c>
      <c r="Y22" s="136"/>
      <c r="Z22" s="94">
        <f t="shared" si="5"/>
        <v>5339383.7918781713</v>
      </c>
      <c r="AA22" s="94">
        <f t="shared" si="0"/>
        <v>83434.416143614653</v>
      </c>
      <c r="AB22" s="94">
        <f t="shared" si="1"/>
        <v>55618.581165397612</v>
      </c>
      <c r="AC22" s="94">
        <f t="shared" si="2"/>
        <v>27815.834978217041</v>
      </c>
      <c r="AD22" s="94"/>
      <c r="AE22" s="94">
        <f t="shared" si="3"/>
        <v>5311567.956899954</v>
      </c>
    </row>
    <row r="23" spans="1:56">
      <c r="W23">
        <v>16</v>
      </c>
      <c r="X23" s="136">
        <f t="shared" si="4"/>
        <v>5311567.956899954</v>
      </c>
      <c r="Y23" s="136"/>
      <c r="Z23" s="94">
        <f t="shared" si="5"/>
        <v>5311567.956899954</v>
      </c>
      <c r="AA23" s="94">
        <f t="shared" si="0"/>
        <v>83434.416143614653</v>
      </c>
      <c r="AB23" s="94">
        <f t="shared" si="1"/>
        <v>55328.832884374518</v>
      </c>
      <c r="AC23" s="94">
        <f t="shared" si="2"/>
        <v>28105.583259240135</v>
      </c>
      <c r="AD23" s="94"/>
      <c r="AE23" s="94">
        <f t="shared" si="3"/>
        <v>5283462.3736407142</v>
      </c>
    </row>
    <row r="24" spans="1:56">
      <c r="W24">
        <v>17</v>
      </c>
      <c r="X24" s="136">
        <f t="shared" si="4"/>
        <v>5283462.3736407142</v>
      </c>
      <c r="Y24" s="136"/>
      <c r="Z24" s="94">
        <f t="shared" si="5"/>
        <v>5283462.3736407142</v>
      </c>
      <c r="AA24" s="94">
        <f t="shared" si="0"/>
        <v>83434.416143614653</v>
      </c>
      <c r="AB24" s="94">
        <f t="shared" si="1"/>
        <v>55036.066392090768</v>
      </c>
      <c r="AC24" s="94">
        <f t="shared" si="2"/>
        <v>28398.349751523885</v>
      </c>
      <c r="AD24" s="94"/>
      <c r="AE24" s="94">
        <f t="shared" si="3"/>
        <v>5255064.0238891905</v>
      </c>
    </row>
    <row r="25" spans="1:56">
      <c r="W25">
        <v>18</v>
      </c>
      <c r="X25" s="136">
        <f t="shared" si="4"/>
        <v>5255064.0238891905</v>
      </c>
      <c r="Y25" s="136"/>
      <c r="Z25" s="94">
        <f t="shared" si="5"/>
        <v>5255064.0238891905</v>
      </c>
      <c r="AA25" s="94">
        <f t="shared" si="0"/>
        <v>83434.416143614653</v>
      </c>
      <c r="AB25" s="94">
        <f t="shared" si="1"/>
        <v>54740.250248845732</v>
      </c>
      <c r="AC25" s="94">
        <f t="shared" si="2"/>
        <v>28694.165894768921</v>
      </c>
      <c r="AD25" s="94"/>
      <c r="AE25" s="94">
        <f t="shared" si="3"/>
        <v>5226369.8579944214</v>
      </c>
    </row>
    <row r="26" spans="1:56">
      <c r="W26">
        <v>19</v>
      </c>
      <c r="X26" s="136">
        <f t="shared" si="4"/>
        <v>5226369.8579944214</v>
      </c>
      <c r="Y26" s="136"/>
      <c r="Z26" s="94">
        <f t="shared" si="5"/>
        <v>5226369.8579944214</v>
      </c>
      <c r="AA26" s="94">
        <f t="shared" si="0"/>
        <v>83434.416143614653</v>
      </c>
      <c r="AB26" s="94">
        <f t="shared" si="1"/>
        <v>54441.352687441889</v>
      </c>
      <c r="AC26" s="94">
        <f t="shared" si="2"/>
        <v>28993.063456172764</v>
      </c>
      <c r="AD26" s="94"/>
      <c r="AE26" s="94">
        <f t="shared" si="3"/>
        <v>5197376.7945382483</v>
      </c>
    </row>
    <row r="27" spans="1:56" s="200" customFormat="1">
      <c r="W27" s="200">
        <v>20</v>
      </c>
      <c r="X27" s="201">
        <f t="shared" si="4"/>
        <v>5197376.7945382483</v>
      </c>
      <c r="Y27" s="201"/>
      <c r="Z27" s="202">
        <f t="shared" si="5"/>
        <v>5197376.7945382483</v>
      </c>
      <c r="AA27" s="202">
        <f t="shared" si="0"/>
        <v>83434.416143614653</v>
      </c>
      <c r="AB27" s="202">
        <f t="shared" si="1"/>
        <v>54139.341609773415</v>
      </c>
      <c r="AC27" s="202">
        <f t="shared" si="2"/>
        <v>29295.074533841238</v>
      </c>
      <c r="AD27" s="202">
        <v>550000</v>
      </c>
      <c r="AE27" s="94">
        <f t="shared" si="3"/>
        <v>4618081.7200044068</v>
      </c>
    </row>
    <row r="28" spans="1:56">
      <c r="U28" t="s">
        <v>511</v>
      </c>
      <c r="V28">
        <v>4618081.7200044068</v>
      </c>
      <c r="W28">
        <v>21</v>
      </c>
      <c r="X28" s="203">
        <f t="shared" si="4"/>
        <v>4618081.7200044068</v>
      </c>
      <c r="Y28" s="136"/>
      <c r="Z28" s="94">
        <f t="shared" si="5"/>
        <v>4618081.7200044068</v>
      </c>
      <c r="AA28" s="94">
        <f>-PMT($V$29/12,$V$30,$V$28,0,0)</f>
        <v>74555.11984662246</v>
      </c>
      <c r="AB28" s="94">
        <f>($V$29/12)*Z28</f>
        <v>48105.017916712568</v>
      </c>
      <c r="AC28" s="94">
        <f t="shared" si="2"/>
        <v>26450.101929909892</v>
      </c>
      <c r="AD28" s="94"/>
      <c r="AE28" s="94">
        <f t="shared" si="3"/>
        <v>4591631.6180744972</v>
      </c>
    </row>
    <row r="29" spans="1:56">
      <c r="U29" t="s">
        <v>568</v>
      </c>
      <c r="V29" s="169">
        <v>0.125</v>
      </c>
      <c r="W29">
        <v>22</v>
      </c>
      <c r="X29" s="136">
        <f t="shared" si="4"/>
        <v>4591631.6180744972</v>
      </c>
      <c r="Y29" s="136"/>
      <c r="Z29" s="94">
        <f t="shared" si="5"/>
        <v>4591631.6180744972</v>
      </c>
      <c r="AA29" s="94">
        <f t="shared" ref="AA29:AA55" si="16">-PMT($V$29/12,$V$30,$V$28,0,0)</f>
        <v>74555.11984662246</v>
      </c>
      <c r="AB29" s="94">
        <f t="shared" ref="AB29:AB55" si="17">($V$29/12)*Z29</f>
        <v>47829.496021609346</v>
      </c>
      <c r="AC29" s="94">
        <f t="shared" si="2"/>
        <v>26725.623825013114</v>
      </c>
      <c r="AD29" s="94"/>
      <c r="AE29" s="94">
        <f t="shared" si="3"/>
        <v>4564905.9942494845</v>
      </c>
    </row>
    <row r="30" spans="1:56">
      <c r="U30" t="s">
        <v>534</v>
      </c>
      <c r="V30">
        <v>100</v>
      </c>
      <c r="W30">
        <v>23</v>
      </c>
      <c r="X30" s="136">
        <f t="shared" si="4"/>
        <v>4564905.9942494845</v>
      </c>
      <c r="Y30" s="136"/>
      <c r="Z30" s="94">
        <f t="shared" si="5"/>
        <v>4564905.9942494845</v>
      </c>
      <c r="AA30" s="94">
        <f t="shared" si="16"/>
        <v>74555.11984662246</v>
      </c>
      <c r="AB30" s="94">
        <f t="shared" si="17"/>
        <v>47551.104106765459</v>
      </c>
      <c r="AC30" s="94">
        <f t="shared" si="2"/>
        <v>27004.015739857001</v>
      </c>
      <c r="AD30" s="94"/>
      <c r="AE30" s="94">
        <f t="shared" si="3"/>
        <v>4537901.9785096273</v>
      </c>
    </row>
    <row r="31" spans="1:56">
      <c r="W31">
        <v>24</v>
      </c>
      <c r="X31" s="136">
        <f t="shared" si="4"/>
        <v>4537901.9785096273</v>
      </c>
      <c r="Y31" s="136"/>
      <c r="Z31" s="94">
        <f t="shared" si="5"/>
        <v>4537901.9785096273</v>
      </c>
      <c r="AA31" s="94">
        <f t="shared" si="16"/>
        <v>74555.11984662246</v>
      </c>
      <c r="AB31" s="94">
        <f t="shared" si="17"/>
        <v>47269.812276141951</v>
      </c>
      <c r="AC31" s="94">
        <f t="shared" si="2"/>
        <v>27285.307570480509</v>
      </c>
      <c r="AD31" s="94"/>
      <c r="AE31" s="94">
        <f t="shared" si="3"/>
        <v>4510616.6709391465</v>
      </c>
    </row>
    <row r="32" spans="1:56">
      <c r="W32">
        <v>25</v>
      </c>
      <c r="X32" s="136">
        <f t="shared" si="4"/>
        <v>4510616.6709391465</v>
      </c>
      <c r="Y32" s="136"/>
      <c r="Z32" s="94">
        <f t="shared" si="5"/>
        <v>4510616.6709391465</v>
      </c>
      <c r="AA32" s="94">
        <f t="shared" si="16"/>
        <v>74555.11984662246</v>
      </c>
      <c r="AB32" s="94">
        <f t="shared" si="17"/>
        <v>46985.590322282776</v>
      </c>
      <c r="AC32" s="94">
        <f t="shared" si="2"/>
        <v>27569.529524339683</v>
      </c>
      <c r="AD32" s="94"/>
      <c r="AE32" s="94">
        <f t="shared" si="3"/>
        <v>4483047.1414148072</v>
      </c>
    </row>
    <row r="33" spans="23:31">
      <c r="W33">
        <v>26</v>
      </c>
      <c r="X33" s="136">
        <f t="shared" si="4"/>
        <v>4483047.1414148072</v>
      </c>
      <c r="Y33" s="136"/>
      <c r="Z33" s="94">
        <f t="shared" si="5"/>
        <v>4483047.1414148072</v>
      </c>
      <c r="AA33" s="94">
        <f t="shared" si="16"/>
        <v>74555.11984662246</v>
      </c>
      <c r="AB33" s="94">
        <f t="shared" si="17"/>
        <v>46698.407723070908</v>
      </c>
      <c r="AC33" s="94">
        <f t="shared" si="2"/>
        <v>27856.712123551551</v>
      </c>
      <c r="AD33" s="94"/>
      <c r="AE33" s="94">
        <f t="shared" si="3"/>
        <v>4455190.4292912558</v>
      </c>
    </row>
    <row r="34" spans="23:31">
      <c r="W34">
        <v>27</v>
      </c>
      <c r="X34" s="136">
        <f t="shared" si="4"/>
        <v>4455190.4292912558</v>
      </c>
      <c r="Y34" s="136"/>
      <c r="Z34" s="94">
        <f t="shared" si="5"/>
        <v>4455190.4292912558</v>
      </c>
      <c r="AA34" s="94">
        <f t="shared" si="16"/>
        <v>74555.11984662246</v>
      </c>
      <c r="AB34" s="94">
        <f t="shared" si="17"/>
        <v>46408.233638450576</v>
      </c>
      <c r="AC34" s="94">
        <f t="shared" si="2"/>
        <v>28146.886208171883</v>
      </c>
      <c r="AD34" s="94"/>
      <c r="AE34" s="94">
        <f t="shared" si="3"/>
        <v>4427043.5430830838</v>
      </c>
    </row>
    <row r="35" spans="23:31">
      <c r="W35">
        <v>28</v>
      </c>
      <c r="X35" s="136">
        <f t="shared" si="4"/>
        <v>4427043.5430830838</v>
      </c>
      <c r="Y35" s="136"/>
      <c r="Z35" s="94">
        <f t="shared" si="5"/>
        <v>4427043.5430830838</v>
      </c>
      <c r="AA35" s="94">
        <f t="shared" si="16"/>
        <v>74555.11984662246</v>
      </c>
      <c r="AB35" s="94">
        <f t="shared" si="17"/>
        <v>46115.036907115456</v>
      </c>
      <c r="AC35" s="94">
        <f t="shared" si="2"/>
        <v>28440.082939507003</v>
      </c>
      <c r="AD35" s="94"/>
      <c r="AE35" s="94">
        <f t="shared" si="3"/>
        <v>4398603.4601435764</v>
      </c>
    </row>
    <row r="36" spans="23:31">
      <c r="W36">
        <v>29</v>
      </c>
      <c r="X36" s="136">
        <f t="shared" si="4"/>
        <v>4398603.4601435764</v>
      </c>
      <c r="Y36" s="136"/>
      <c r="Z36" s="94">
        <f t="shared" si="5"/>
        <v>4398603.4601435764</v>
      </c>
      <c r="AA36" s="94">
        <f t="shared" si="16"/>
        <v>74555.11984662246</v>
      </c>
      <c r="AB36" s="94">
        <f t="shared" si="17"/>
        <v>45818.786043162254</v>
      </c>
      <c r="AC36" s="94">
        <f t="shared" si="2"/>
        <v>28736.333803460206</v>
      </c>
      <c r="AD36" s="94"/>
      <c r="AE36" s="94">
        <f t="shared" si="3"/>
        <v>4369867.1263401164</v>
      </c>
    </row>
    <row r="37" spans="23:31">
      <c r="W37">
        <v>30</v>
      </c>
      <c r="X37" s="136">
        <f t="shared" si="4"/>
        <v>4369867.1263401164</v>
      </c>
      <c r="Y37" s="136"/>
      <c r="Z37" s="94">
        <f t="shared" si="5"/>
        <v>4369867.1263401164</v>
      </c>
      <c r="AA37" s="94">
        <f t="shared" si="16"/>
        <v>74555.11984662246</v>
      </c>
      <c r="AB37" s="94">
        <f t="shared" si="17"/>
        <v>45519.449232709543</v>
      </c>
      <c r="AC37" s="94">
        <f t="shared" si="2"/>
        <v>29035.670613912916</v>
      </c>
      <c r="AD37" s="94"/>
      <c r="AE37" s="94">
        <f t="shared" si="3"/>
        <v>4340831.4557262035</v>
      </c>
    </row>
    <row r="38" spans="23:31">
      <c r="W38">
        <v>31</v>
      </c>
      <c r="X38" s="136">
        <f t="shared" si="4"/>
        <v>4340831.4557262035</v>
      </c>
      <c r="Y38" s="136"/>
      <c r="Z38" s="94">
        <f t="shared" si="5"/>
        <v>4340831.4557262035</v>
      </c>
      <c r="AA38" s="94">
        <f t="shared" si="16"/>
        <v>74555.11984662246</v>
      </c>
      <c r="AB38" s="94">
        <f t="shared" si="17"/>
        <v>45216.994330481284</v>
      </c>
      <c r="AC38" s="94">
        <f t="shared" si="2"/>
        <v>29338.125516141175</v>
      </c>
      <c r="AD38" s="94"/>
      <c r="AE38" s="94">
        <f t="shared" si="3"/>
        <v>4311493.3302100627</v>
      </c>
    </row>
    <row r="39" spans="23:31">
      <c r="W39">
        <v>32</v>
      </c>
      <c r="X39" s="136">
        <f t="shared" si="4"/>
        <v>4311493.3302100627</v>
      </c>
      <c r="Y39" s="136"/>
      <c r="Z39" s="94">
        <f t="shared" si="5"/>
        <v>4311493.3302100627</v>
      </c>
      <c r="AA39" s="94">
        <f t="shared" si="16"/>
        <v>74555.11984662246</v>
      </c>
      <c r="AB39" s="94">
        <f t="shared" si="17"/>
        <v>44911.388856354817</v>
      </c>
      <c r="AC39" s="94">
        <f t="shared" si="2"/>
        <v>29643.730990267642</v>
      </c>
      <c r="AD39" s="94"/>
      <c r="AE39" s="94">
        <f t="shared" si="3"/>
        <v>4281849.5992197953</v>
      </c>
    </row>
    <row r="40" spans="23:31">
      <c r="W40">
        <v>33</v>
      </c>
      <c r="X40" s="136">
        <f t="shared" si="4"/>
        <v>4281849.5992197953</v>
      </c>
      <c r="Y40" s="136"/>
      <c r="Z40" s="94">
        <f t="shared" si="5"/>
        <v>4281849.5992197953</v>
      </c>
      <c r="AA40" s="94">
        <f t="shared" si="16"/>
        <v>74555.11984662246</v>
      </c>
      <c r="AB40" s="94">
        <f t="shared" si="17"/>
        <v>44602.599991872863</v>
      </c>
      <c r="AC40" s="94">
        <f t="shared" si="2"/>
        <v>29952.519854749597</v>
      </c>
      <c r="AD40" s="94"/>
      <c r="AE40" s="94">
        <f t="shared" si="3"/>
        <v>4251897.0793650458</v>
      </c>
    </row>
    <row r="41" spans="23:31">
      <c r="W41">
        <v>34</v>
      </c>
      <c r="X41" s="136">
        <f t="shared" si="4"/>
        <v>4251897.0793650458</v>
      </c>
      <c r="Y41" s="136"/>
      <c r="Z41" s="94">
        <f t="shared" si="5"/>
        <v>4251897.0793650458</v>
      </c>
      <c r="AA41" s="94">
        <f t="shared" si="16"/>
        <v>74555.11984662246</v>
      </c>
      <c r="AB41" s="94">
        <f t="shared" si="17"/>
        <v>44290.594576719224</v>
      </c>
      <c r="AC41" s="94">
        <f t="shared" si="2"/>
        <v>30264.525269903235</v>
      </c>
      <c r="AD41" s="94"/>
      <c r="AE41" s="94">
        <f t="shared" si="3"/>
        <v>4221632.5540951425</v>
      </c>
    </row>
    <row r="42" spans="23:31">
      <c r="W42">
        <v>35</v>
      </c>
      <c r="X42" s="136">
        <f t="shared" si="4"/>
        <v>4221632.5540951425</v>
      </c>
      <c r="Y42" s="136"/>
      <c r="Z42" s="94">
        <f t="shared" si="5"/>
        <v>4221632.5540951425</v>
      </c>
      <c r="AA42" s="94">
        <f t="shared" si="16"/>
        <v>74555.11984662246</v>
      </c>
      <c r="AB42" s="94">
        <f t="shared" si="17"/>
        <v>43975.339105157735</v>
      </c>
      <c r="AC42" s="94">
        <f t="shared" si="2"/>
        <v>30579.780741464725</v>
      </c>
      <c r="AD42" s="94"/>
      <c r="AE42" s="94">
        <f t="shared" si="3"/>
        <v>4191052.7733536777</v>
      </c>
    </row>
    <row r="43" spans="23:31">
      <c r="W43">
        <v>36</v>
      </c>
      <c r="X43" s="136">
        <f t="shared" si="4"/>
        <v>4191052.7733536777</v>
      </c>
      <c r="Y43" s="136"/>
      <c r="Z43" s="94">
        <f t="shared" si="5"/>
        <v>4191052.7733536777</v>
      </c>
      <c r="AA43" s="94">
        <f t="shared" si="16"/>
        <v>74555.11984662246</v>
      </c>
      <c r="AB43" s="94">
        <f t="shared" si="17"/>
        <v>43656.799722434138</v>
      </c>
      <c r="AC43" s="94">
        <f t="shared" si="2"/>
        <v>30898.320124188322</v>
      </c>
      <c r="AD43" s="94"/>
      <c r="AE43" s="94">
        <f t="shared" si="3"/>
        <v>4160154.4532294893</v>
      </c>
    </row>
    <row r="44" spans="23:31">
      <c r="W44">
        <v>37</v>
      </c>
      <c r="X44" s="136">
        <f t="shared" si="4"/>
        <v>4160154.4532294893</v>
      </c>
      <c r="Y44" s="136"/>
      <c r="Z44" s="94">
        <f t="shared" si="5"/>
        <v>4160154.4532294893</v>
      </c>
      <c r="AA44" s="94">
        <f t="shared" si="16"/>
        <v>74555.11984662246</v>
      </c>
      <c r="AB44" s="94">
        <f t="shared" si="17"/>
        <v>43334.942221140511</v>
      </c>
      <c r="AC44" s="94">
        <f t="shared" si="2"/>
        <v>31220.177625481949</v>
      </c>
      <c r="AD44" s="94"/>
      <c r="AE44" s="94">
        <f t="shared" si="3"/>
        <v>4128934.2756040073</v>
      </c>
    </row>
    <row r="45" spans="23:31">
      <c r="W45">
        <v>38</v>
      </c>
      <c r="X45" s="136">
        <f t="shared" si="4"/>
        <v>4128934.2756040073</v>
      </c>
      <c r="Y45" s="136"/>
      <c r="Z45" s="94">
        <f t="shared" si="5"/>
        <v>4128934.2756040073</v>
      </c>
      <c r="AA45" s="94">
        <f t="shared" si="16"/>
        <v>74555.11984662246</v>
      </c>
      <c r="AB45" s="94">
        <f t="shared" si="17"/>
        <v>43009.73203754174</v>
      </c>
      <c r="AC45" s="94">
        <f t="shared" si="2"/>
        <v>31545.387809080719</v>
      </c>
      <c r="AD45" s="94"/>
      <c r="AE45" s="94">
        <f t="shared" si="3"/>
        <v>4097388.8877949268</v>
      </c>
    </row>
    <row r="46" spans="23:31">
      <c r="W46">
        <v>39</v>
      </c>
      <c r="X46" s="136">
        <f t="shared" si="4"/>
        <v>4097388.8877949268</v>
      </c>
      <c r="Y46" s="136"/>
      <c r="Z46" s="94">
        <f t="shared" si="5"/>
        <v>4097388.8877949268</v>
      </c>
      <c r="AA46" s="94">
        <f t="shared" si="16"/>
        <v>74555.11984662246</v>
      </c>
      <c r="AB46" s="94">
        <f t="shared" si="17"/>
        <v>42681.134247863818</v>
      </c>
      <c r="AC46" s="94">
        <f t="shared" si="2"/>
        <v>31873.985598758642</v>
      </c>
      <c r="AD46" s="94"/>
      <c r="AE46" s="94">
        <f t="shared" si="3"/>
        <v>4065514.902196168</v>
      </c>
    </row>
    <row r="47" spans="23:31">
      <c r="W47">
        <v>40</v>
      </c>
      <c r="X47" s="136">
        <f t="shared" si="4"/>
        <v>4065514.902196168</v>
      </c>
      <c r="Y47" s="136"/>
      <c r="Z47" s="94">
        <f t="shared" si="5"/>
        <v>4065514.902196168</v>
      </c>
      <c r="AA47" s="94">
        <f t="shared" si="16"/>
        <v>74555.11984662246</v>
      </c>
      <c r="AB47" s="94">
        <f t="shared" si="17"/>
        <v>42349.113564543411</v>
      </c>
      <c r="AC47" s="94">
        <f t="shared" si="2"/>
        <v>32206.006282079048</v>
      </c>
      <c r="AD47" s="94"/>
      <c r="AE47" s="94">
        <f t="shared" si="3"/>
        <v>4033308.8959140889</v>
      </c>
    </row>
    <row r="48" spans="23:31">
      <c r="W48">
        <v>41</v>
      </c>
      <c r="X48" s="136">
        <f t="shared" si="4"/>
        <v>4033308.8959140889</v>
      </c>
      <c r="Y48" s="136"/>
      <c r="Z48" s="94">
        <f t="shared" si="5"/>
        <v>4033308.8959140889</v>
      </c>
      <c r="AA48" s="94">
        <f t="shared" si="16"/>
        <v>74555.11984662246</v>
      </c>
      <c r="AB48" s="94">
        <f t="shared" si="17"/>
        <v>42013.634332438422</v>
      </c>
      <c r="AC48" s="94">
        <f t="shared" si="2"/>
        <v>32541.485514184038</v>
      </c>
      <c r="AD48" s="94"/>
      <c r="AE48" s="94">
        <f t="shared" si="3"/>
        <v>4000767.4103999049</v>
      </c>
    </row>
    <row r="49" spans="21:31">
      <c r="W49">
        <v>42</v>
      </c>
      <c r="X49" s="136">
        <f t="shared" si="4"/>
        <v>4000767.4103999049</v>
      </c>
      <c r="Y49" s="136"/>
      <c r="Z49" s="94">
        <f t="shared" si="5"/>
        <v>4000767.4103999049</v>
      </c>
      <c r="AA49" s="94">
        <f t="shared" si="16"/>
        <v>74555.11984662246</v>
      </c>
      <c r="AB49" s="94">
        <f t="shared" si="17"/>
        <v>41674.66052499901</v>
      </c>
      <c r="AC49" s="94">
        <f t="shared" si="2"/>
        <v>32880.45932162345</v>
      </c>
      <c r="AD49" s="94"/>
      <c r="AE49" s="94">
        <f t="shared" si="3"/>
        <v>3967886.9510782813</v>
      </c>
    </row>
    <row r="50" spans="21:31">
      <c r="W50">
        <v>43</v>
      </c>
      <c r="X50" s="136">
        <f t="shared" si="4"/>
        <v>3967886.9510782813</v>
      </c>
      <c r="Y50" s="136"/>
      <c r="Z50" s="94">
        <f t="shared" si="5"/>
        <v>3967886.9510782813</v>
      </c>
      <c r="AA50" s="94">
        <f t="shared" si="16"/>
        <v>74555.11984662246</v>
      </c>
      <c r="AB50" s="94">
        <f t="shared" si="17"/>
        <v>41332.155740398761</v>
      </c>
      <c r="AC50" s="94">
        <f t="shared" si="2"/>
        <v>33222.964106223699</v>
      </c>
      <c r="AD50" s="94"/>
      <c r="AE50" s="94">
        <f t="shared" si="3"/>
        <v>3934663.9869720577</v>
      </c>
    </row>
    <row r="51" spans="21:31">
      <c r="W51">
        <v>44</v>
      </c>
      <c r="X51" s="136">
        <f t="shared" si="4"/>
        <v>3934663.9869720577</v>
      </c>
      <c r="Y51" s="136"/>
      <c r="Z51" s="94">
        <f t="shared" si="5"/>
        <v>3934663.9869720577</v>
      </c>
      <c r="AA51" s="94">
        <f t="shared" si="16"/>
        <v>74555.11984662246</v>
      </c>
      <c r="AB51" s="94">
        <f t="shared" si="17"/>
        <v>40986.083197625601</v>
      </c>
      <c r="AC51" s="94">
        <f t="shared" si="2"/>
        <v>33569.036648996858</v>
      </c>
      <c r="AD51" s="94"/>
      <c r="AE51" s="94">
        <f t="shared" si="3"/>
        <v>3901094.9503230611</v>
      </c>
    </row>
    <row r="52" spans="21:31">
      <c r="W52">
        <v>45</v>
      </c>
      <c r="X52" s="136">
        <f t="shared" si="4"/>
        <v>3901094.9503230611</v>
      </c>
      <c r="Y52" s="136"/>
      <c r="Z52" s="94">
        <f t="shared" si="5"/>
        <v>3901094.9503230611</v>
      </c>
      <c r="AA52" s="94">
        <f t="shared" si="16"/>
        <v>74555.11984662246</v>
      </c>
      <c r="AB52" s="94">
        <f t="shared" si="17"/>
        <v>40636.405732531886</v>
      </c>
      <c r="AC52" s="94">
        <f t="shared" si="2"/>
        <v>33918.714114090573</v>
      </c>
      <c r="AD52" s="94"/>
      <c r="AE52" s="94">
        <f t="shared" si="3"/>
        <v>3867176.2362089707</v>
      </c>
    </row>
    <row r="53" spans="21:31">
      <c r="W53">
        <v>46</v>
      </c>
      <c r="X53" s="136">
        <f t="shared" si="4"/>
        <v>3867176.2362089707</v>
      </c>
      <c r="Y53" s="136"/>
      <c r="Z53" s="94">
        <f t="shared" si="5"/>
        <v>3867176.2362089707</v>
      </c>
      <c r="AA53" s="94">
        <f t="shared" si="16"/>
        <v>74555.11984662246</v>
      </c>
      <c r="AB53" s="94">
        <f t="shared" si="17"/>
        <v>40283.085793843442</v>
      </c>
      <c r="AC53" s="94">
        <f t="shared" si="2"/>
        <v>34272.034052779018</v>
      </c>
      <c r="AD53" s="94"/>
      <c r="AE53" s="94">
        <f t="shared" si="3"/>
        <v>3832904.2021561917</v>
      </c>
    </row>
    <row r="54" spans="21:31">
      <c r="W54">
        <v>47</v>
      </c>
      <c r="X54" s="136">
        <f t="shared" si="4"/>
        <v>3832904.2021561917</v>
      </c>
      <c r="Y54" s="136"/>
      <c r="Z54" s="94">
        <f t="shared" si="5"/>
        <v>3832904.2021561917</v>
      </c>
      <c r="AA54" s="94">
        <f t="shared" si="16"/>
        <v>74555.11984662246</v>
      </c>
      <c r="AB54" s="94">
        <f t="shared" si="17"/>
        <v>39926.085439126997</v>
      </c>
      <c r="AC54" s="94">
        <f t="shared" si="2"/>
        <v>34629.034407495463</v>
      </c>
      <c r="AD54" s="94"/>
      <c r="AE54" s="94">
        <f t="shared" si="3"/>
        <v>3798275.1677486962</v>
      </c>
    </row>
    <row r="55" spans="21:31" s="204" customFormat="1">
      <c r="W55" s="204">
        <v>48</v>
      </c>
      <c r="X55" s="205">
        <f t="shared" si="4"/>
        <v>3798275.1677486962</v>
      </c>
      <c r="Y55" s="205"/>
      <c r="Z55" s="206">
        <f t="shared" si="5"/>
        <v>3798275.1677486962</v>
      </c>
      <c r="AA55" s="206">
        <f t="shared" si="16"/>
        <v>74555.11984662246</v>
      </c>
      <c r="AB55" s="206">
        <f t="shared" si="17"/>
        <v>39565.36633071558</v>
      </c>
      <c r="AC55" s="206">
        <f t="shared" si="2"/>
        <v>34989.753515906879</v>
      </c>
      <c r="AD55" s="206"/>
      <c r="AE55" s="206">
        <f t="shared" si="3"/>
        <v>3763285.4142327891</v>
      </c>
    </row>
    <row r="56" spans="21:31">
      <c r="U56" t="s">
        <v>569</v>
      </c>
      <c r="V56" s="94">
        <v>3763285.41423279</v>
      </c>
      <c r="W56">
        <v>49</v>
      </c>
      <c r="X56" s="136">
        <f t="shared" si="4"/>
        <v>3763285.4142327891</v>
      </c>
      <c r="Y56" s="136"/>
      <c r="Z56" s="94">
        <f t="shared" si="5"/>
        <v>3763285.4142327891</v>
      </c>
      <c r="AA56" s="94">
        <f>-PMT($V$57/12,$V$58,$V$56,0,0)</f>
        <v>87175.353185002212</v>
      </c>
      <c r="AB56" s="94">
        <f>($V$57/12)*Z56</f>
        <v>43277.78226367708</v>
      </c>
      <c r="AC56" s="94">
        <f t="shared" si="2"/>
        <v>43897.570921325132</v>
      </c>
      <c r="AD56" s="94"/>
      <c r="AE56" s="94">
        <f t="shared" si="3"/>
        <v>3719387.8433114639</v>
      </c>
    </row>
    <row r="57" spans="21:31">
      <c r="U57" t="s">
        <v>568</v>
      </c>
      <c r="V57" s="169">
        <v>0.13800000000000001</v>
      </c>
      <c r="W57">
        <v>50</v>
      </c>
      <c r="X57" s="136">
        <f t="shared" si="4"/>
        <v>3719387.8433114639</v>
      </c>
      <c r="Y57" s="136"/>
      <c r="Z57" s="94">
        <f t="shared" si="5"/>
        <v>3719387.8433114639</v>
      </c>
      <c r="AA57" s="94">
        <f t="shared" ref="AA57:AA120" si="18">-PMT($V$57/12,$V$58,$V$56,0,0)</f>
        <v>87175.353185002212</v>
      </c>
      <c r="AB57" s="94">
        <f t="shared" ref="AB57:AB120" si="19">($V$57/12)*Z57</f>
        <v>42772.960198081841</v>
      </c>
      <c r="AC57" s="94">
        <f t="shared" si="2"/>
        <v>44402.392986920371</v>
      </c>
      <c r="AD57" s="94"/>
      <c r="AE57" s="94">
        <f t="shared" si="3"/>
        <v>3674985.4503245438</v>
      </c>
    </row>
    <row r="58" spans="21:31">
      <c r="U58" t="s">
        <v>534</v>
      </c>
      <c r="V58">
        <f>120-48-12</f>
        <v>60</v>
      </c>
      <c r="W58">
        <v>51</v>
      </c>
      <c r="X58" s="136">
        <f t="shared" si="4"/>
        <v>3674985.4503245438</v>
      </c>
      <c r="Y58" s="136"/>
      <c r="Z58" s="94">
        <f t="shared" si="5"/>
        <v>3674985.4503245438</v>
      </c>
      <c r="AA58" s="94">
        <f t="shared" si="18"/>
        <v>87175.353185002212</v>
      </c>
      <c r="AB58" s="94">
        <f t="shared" si="19"/>
        <v>42262.332678732259</v>
      </c>
      <c r="AC58" s="94">
        <f t="shared" si="2"/>
        <v>44913.020506269953</v>
      </c>
      <c r="AD58" s="94"/>
      <c r="AE58" s="94">
        <f t="shared" si="3"/>
        <v>3630072.429818274</v>
      </c>
    </row>
    <row r="59" spans="21:31">
      <c r="W59">
        <v>52</v>
      </c>
      <c r="X59" s="136">
        <f t="shared" si="4"/>
        <v>3630072.429818274</v>
      </c>
      <c r="Y59" s="136"/>
      <c r="Z59" s="94">
        <f t="shared" si="5"/>
        <v>3630072.429818274</v>
      </c>
      <c r="AA59" s="94">
        <f t="shared" si="18"/>
        <v>87175.353185002212</v>
      </c>
      <c r="AB59" s="94">
        <f t="shared" si="19"/>
        <v>41745.832942910158</v>
      </c>
      <c r="AC59" s="94">
        <f t="shared" si="2"/>
        <v>45429.520242092054</v>
      </c>
      <c r="AD59" s="94"/>
      <c r="AE59" s="94">
        <f t="shared" si="3"/>
        <v>3584642.9095761818</v>
      </c>
    </row>
    <row r="60" spans="21:31">
      <c r="W60">
        <v>53</v>
      </c>
      <c r="X60" s="136">
        <f t="shared" si="4"/>
        <v>3584642.9095761818</v>
      </c>
      <c r="Y60" s="136"/>
      <c r="Z60" s="94">
        <f t="shared" si="5"/>
        <v>3584642.9095761818</v>
      </c>
      <c r="AA60" s="94">
        <f t="shared" si="18"/>
        <v>87175.353185002212</v>
      </c>
      <c r="AB60" s="94">
        <f t="shared" si="19"/>
        <v>41223.393460126099</v>
      </c>
      <c r="AC60" s="94">
        <f t="shared" si="2"/>
        <v>45951.959724876113</v>
      </c>
      <c r="AD60" s="94"/>
      <c r="AE60" s="94">
        <f t="shared" si="3"/>
        <v>3538690.9498513057</v>
      </c>
    </row>
    <row r="61" spans="21:31">
      <c r="W61">
        <v>54</v>
      </c>
      <c r="X61" s="136">
        <f t="shared" si="4"/>
        <v>3538690.9498513057</v>
      </c>
      <c r="Y61" s="136"/>
      <c r="Z61" s="94">
        <f t="shared" si="5"/>
        <v>3538690.9498513057</v>
      </c>
      <c r="AA61" s="94">
        <f t="shared" si="18"/>
        <v>87175.353185002212</v>
      </c>
      <c r="AB61" s="94">
        <f t="shared" si="19"/>
        <v>40694.945923290019</v>
      </c>
      <c r="AC61" s="94">
        <f t="shared" si="2"/>
        <v>46480.407261712193</v>
      </c>
      <c r="AD61" s="94"/>
      <c r="AE61" s="94">
        <f t="shared" si="3"/>
        <v>3492210.5425895937</v>
      </c>
    </row>
    <row r="62" spans="21:31">
      <c r="W62">
        <v>55</v>
      </c>
      <c r="X62" s="136">
        <f t="shared" si="4"/>
        <v>3492210.5425895937</v>
      </c>
      <c r="Y62" s="136"/>
      <c r="Z62" s="94">
        <f t="shared" si="5"/>
        <v>3492210.5425895937</v>
      </c>
      <c r="AA62" s="94">
        <f t="shared" si="18"/>
        <v>87175.353185002212</v>
      </c>
      <c r="AB62" s="94">
        <f t="shared" si="19"/>
        <v>40160.421239780335</v>
      </c>
      <c r="AC62" s="94">
        <f t="shared" si="2"/>
        <v>47014.931945221877</v>
      </c>
      <c r="AD62" s="94"/>
      <c r="AE62" s="94">
        <f t="shared" si="3"/>
        <v>3445195.6106443717</v>
      </c>
    </row>
    <row r="63" spans="21:31">
      <c r="W63">
        <v>56</v>
      </c>
      <c r="X63" s="136">
        <f t="shared" si="4"/>
        <v>3445195.6106443717</v>
      </c>
      <c r="Y63" s="136"/>
      <c r="Z63" s="94">
        <f t="shared" si="5"/>
        <v>3445195.6106443717</v>
      </c>
      <c r="AA63" s="94">
        <f t="shared" si="18"/>
        <v>87175.353185002212</v>
      </c>
      <c r="AB63" s="94">
        <f t="shared" si="19"/>
        <v>39619.749522410282</v>
      </c>
      <c r="AC63" s="94">
        <f t="shared" si="2"/>
        <v>47555.60366259193</v>
      </c>
      <c r="AD63" s="94"/>
      <c r="AE63" s="94">
        <f t="shared" si="3"/>
        <v>3397640.0069817798</v>
      </c>
    </row>
    <row r="64" spans="21:31">
      <c r="W64">
        <v>57</v>
      </c>
      <c r="X64" s="136">
        <f t="shared" si="4"/>
        <v>3397640.0069817798</v>
      </c>
      <c r="Y64" s="136"/>
      <c r="Z64" s="94">
        <f t="shared" si="5"/>
        <v>3397640.0069817798</v>
      </c>
      <c r="AA64" s="94">
        <f t="shared" si="18"/>
        <v>87175.353185002212</v>
      </c>
      <c r="AB64" s="94">
        <f t="shared" si="19"/>
        <v>39072.860080290477</v>
      </c>
      <c r="AC64" s="94">
        <f t="shared" si="2"/>
        <v>48102.493104711735</v>
      </c>
      <c r="AD64" s="94"/>
      <c r="AE64" s="94">
        <f t="shared" si="3"/>
        <v>3349537.5138770682</v>
      </c>
    </row>
    <row r="65" spans="21:31">
      <c r="W65">
        <v>58</v>
      </c>
      <c r="X65" s="136">
        <f t="shared" si="4"/>
        <v>3349537.5138770682</v>
      </c>
      <c r="Y65" s="136"/>
      <c r="Z65" s="94">
        <f t="shared" si="5"/>
        <v>3349537.5138770682</v>
      </c>
      <c r="AA65" s="94">
        <f t="shared" si="18"/>
        <v>87175.353185002212</v>
      </c>
      <c r="AB65" s="94">
        <f t="shared" si="19"/>
        <v>38519.681409586286</v>
      </c>
      <c r="AC65" s="94">
        <f t="shared" si="2"/>
        <v>48655.671775415925</v>
      </c>
      <c r="AD65" s="94"/>
      <c r="AE65" s="94">
        <f t="shared" si="3"/>
        <v>3300881.8421016522</v>
      </c>
    </row>
    <row r="66" spans="21:31">
      <c r="W66">
        <v>59</v>
      </c>
      <c r="X66" s="136">
        <f t="shared" si="4"/>
        <v>3300881.8421016522</v>
      </c>
      <c r="Y66" s="136"/>
      <c r="Z66" s="94">
        <f t="shared" si="5"/>
        <v>3300881.8421016522</v>
      </c>
      <c r="AA66" s="94">
        <f t="shared" si="18"/>
        <v>87175.353185002212</v>
      </c>
      <c r="AB66" s="94">
        <f t="shared" si="19"/>
        <v>37960.141184169006</v>
      </c>
      <c r="AC66" s="94">
        <f t="shared" si="2"/>
        <v>49215.212000833206</v>
      </c>
      <c r="AD66" s="94"/>
      <c r="AE66" s="94">
        <f t="shared" si="3"/>
        <v>3251666.6301008188</v>
      </c>
    </row>
    <row r="67" spans="21:31">
      <c r="W67">
        <v>60</v>
      </c>
      <c r="X67" s="136">
        <f t="shared" si="4"/>
        <v>3251666.6301008188</v>
      </c>
      <c r="Y67" s="136"/>
      <c r="Z67" s="94">
        <f t="shared" si="5"/>
        <v>3251666.6301008188</v>
      </c>
      <c r="AA67" s="94">
        <f t="shared" si="18"/>
        <v>87175.353185002212</v>
      </c>
      <c r="AB67" s="94">
        <f t="shared" si="19"/>
        <v>37394.166246159424</v>
      </c>
      <c r="AC67" s="94">
        <f t="shared" si="2"/>
        <v>49781.186938842788</v>
      </c>
      <c r="AD67" s="94"/>
      <c r="AE67" s="94">
        <f t="shared" si="3"/>
        <v>3201885.4431619761</v>
      </c>
    </row>
    <row r="68" spans="21:31">
      <c r="W68">
        <v>61</v>
      </c>
      <c r="X68" s="136">
        <f t="shared" si="4"/>
        <v>3201885.4431619761</v>
      </c>
      <c r="Y68" s="136"/>
      <c r="Z68" s="94">
        <f t="shared" si="5"/>
        <v>3201885.4431619761</v>
      </c>
      <c r="AA68" s="94">
        <f t="shared" si="18"/>
        <v>87175.353185002212</v>
      </c>
      <c r="AB68" s="94">
        <f t="shared" si="19"/>
        <v>36821.682596362727</v>
      </c>
      <c r="AC68" s="94">
        <f t="shared" si="2"/>
        <v>50353.670588639485</v>
      </c>
      <c r="AD68" s="94"/>
      <c r="AE68" s="94">
        <f t="shared" si="3"/>
        <v>3151531.7725733365</v>
      </c>
    </row>
    <row r="69" spans="21:31">
      <c r="W69">
        <v>62</v>
      </c>
      <c r="X69" s="136">
        <f t="shared" si="4"/>
        <v>3151531.7725733365</v>
      </c>
      <c r="Y69" s="136"/>
      <c r="Z69" s="94">
        <f t="shared" si="5"/>
        <v>3151531.7725733365</v>
      </c>
      <c r="AA69" s="94">
        <f t="shared" si="18"/>
        <v>87175.353185002212</v>
      </c>
      <c r="AB69" s="94">
        <f t="shared" si="19"/>
        <v>36242.615384593373</v>
      </c>
      <c r="AC69" s="94">
        <f t="shared" si="2"/>
        <v>50932.737800408839</v>
      </c>
      <c r="AD69" s="94"/>
      <c r="AE69" s="94">
        <f t="shared" si="3"/>
        <v>3100599.0347729279</v>
      </c>
    </row>
    <row r="70" spans="21:31" s="204" customFormat="1">
      <c r="W70" s="204">
        <v>63</v>
      </c>
      <c r="X70" s="205">
        <f t="shared" si="4"/>
        <v>3100599.0347729279</v>
      </c>
      <c r="Y70" s="205"/>
      <c r="Z70" s="206">
        <f t="shared" si="5"/>
        <v>3100599.0347729279</v>
      </c>
      <c r="AA70" s="206">
        <f t="shared" si="18"/>
        <v>87175.353185002212</v>
      </c>
      <c r="AB70" s="206">
        <f t="shared" si="19"/>
        <v>35656.888899888676</v>
      </c>
      <c r="AC70" s="206">
        <f t="shared" si="2"/>
        <v>51518.464285113536</v>
      </c>
      <c r="AD70" s="206"/>
      <c r="AE70" s="206">
        <f t="shared" si="3"/>
        <v>3049080.5704878145</v>
      </c>
    </row>
    <row r="71" spans="21:31">
      <c r="W71">
        <v>64</v>
      </c>
      <c r="X71" s="136">
        <f t="shared" si="4"/>
        <v>3049080.5704878145</v>
      </c>
      <c r="Y71" s="136"/>
      <c r="Z71" s="94">
        <f t="shared" si="5"/>
        <v>3049080.5704878145</v>
      </c>
      <c r="AA71" s="94">
        <f t="shared" si="18"/>
        <v>87175.353185002212</v>
      </c>
      <c r="AB71" s="94">
        <f t="shared" si="19"/>
        <v>35064.426560609871</v>
      </c>
      <c r="AC71" s="94">
        <f t="shared" si="2"/>
        <v>52110.926624392341</v>
      </c>
      <c r="AD71" s="94">
        <v>18000</v>
      </c>
      <c r="AE71" s="94">
        <f t="shared" si="3"/>
        <v>2978969.6438634223</v>
      </c>
    </row>
    <row r="72" spans="21:31">
      <c r="W72">
        <v>65</v>
      </c>
      <c r="X72" s="136">
        <f t="shared" si="4"/>
        <v>2978969.6438634223</v>
      </c>
      <c r="Y72" s="136"/>
      <c r="Z72" s="94">
        <f t="shared" si="5"/>
        <v>2978969.6438634223</v>
      </c>
      <c r="AA72" s="94">
        <f t="shared" si="18"/>
        <v>87175.353185002212</v>
      </c>
      <c r="AB72" s="94">
        <f t="shared" si="19"/>
        <v>34258.150904429363</v>
      </c>
      <c r="AC72" s="94">
        <f t="shared" si="2"/>
        <v>52917.202280572848</v>
      </c>
      <c r="AD72" s="94">
        <v>18000</v>
      </c>
      <c r="AE72" s="94">
        <f t="shared" si="3"/>
        <v>2908052.4415828492</v>
      </c>
    </row>
    <row r="73" spans="21:31">
      <c r="W73">
        <v>66</v>
      </c>
      <c r="X73" s="136">
        <f t="shared" si="4"/>
        <v>2908052.4415828492</v>
      </c>
      <c r="Y73" s="136"/>
      <c r="Z73" s="94">
        <f t="shared" ref="Z73:Z127" si="20">X73+Y73</f>
        <v>2908052.4415828492</v>
      </c>
      <c r="AA73" s="94">
        <f t="shared" si="18"/>
        <v>87175.353185002212</v>
      </c>
      <c r="AB73" s="94">
        <f t="shared" si="19"/>
        <v>33442.603078202774</v>
      </c>
      <c r="AC73" s="94">
        <f t="shared" ref="AC73:AC127" si="21">AA73-AB73</f>
        <v>53732.750106799438</v>
      </c>
      <c r="AD73" s="94">
        <v>18000</v>
      </c>
      <c r="AE73" s="94">
        <f t="shared" ref="AE73:AE127" si="22">Z73-AC73-AD73</f>
        <v>2836319.6914760498</v>
      </c>
    </row>
    <row r="74" spans="21:31">
      <c r="W74">
        <v>67</v>
      </c>
      <c r="X74" s="136">
        <f t="shared" ref="X74:X127" si="23">AE73</f>
        <v>2836319.6914760498</v>
      </c>
      <c r="Y74" s="136"/>
      <c r="Z74" s="94">
        <f t="shared" si="20"/>
        <v>2836319.6914760498</v>
      </c>
      <c r="AA74" s="94">
        <f t="shared" si="18"/>
        <v>87175.353185002212</v>
      </c>
      <c r="AB74" s="94">
        <f t="shared" si="19"/>
        <v>32617.676451974578</v>
      </c>
      <c r="AC74" s="94">
        <f t="shared" si="21"/>
        <v>54557.676733027634</v>
      </c>
      <c r="AD74" s="94">
        <v>18000</v>
      </c>
      <c r="AE74" s="94">
        <f t="shared" si="22"/>
        <v>2763762.0147430222</v>
      </c>
    </row>
    <row r="75" spans="21:31">
      <c r="W75">
        <v>68</v>
      </c>
      <c r="X75" s="136">
        <f t="shared" si="23"/>
        <v>2763762.0147430222</v>
      </c>
      <c r="Y75" s="136"/>
      <c r="Z75" s="94">
        <f t="shared" si="20"/>
        <v>2763762.0147430222</v>
      </c>
      <c r="AA75" s="94">
        <f t="shared" si="18"/>
        <v>87175.353185002212</v>
      </c>
      <c r="AB75" s="94">
        <f t="shared" si="19"/>
        <v>31783.26316954476</v>
      </c>
      <c r="AC75" s="94">
        <f t="shared" si="21"/>
        <v>55392.090015457448</v>
      </c>
      <c r="AD75" s="94">
        <v>18000</v>
      </c>
      <c r="AE75" s="94">
        <f t="shared" si="22"/>
        <v>2690369.9247275647</v>
      </c>
    </row>
    <row r="76" spans="21:31">
      <c r="W76">
        <v>69</v>
      </c>
      <c r="X76" s="136">
        <f t="shared" si="23"/>
        <v>2690369.9247275647</v>
      </c>
      <c r="Y76" s="136"/>
      <c r="Z76" s="94">
        <f t="shared" si="20"/>
        <v>2690369.9247275647</v>
      </c>
      <c r="AA76" s="94">
        <f t="shared" si="18"/>
        <v>87175.353185002212</v>
      </c>
      <c r="AB76" s="94">
        <f t="shared" si="19"/>
        <v>30939.254134366998</v>
      </c>
      <c r="AC76" s="94">
        <f t="shared" si="21"/>
        <v>56236.09905063521</v>
      </c>
      <c r="AD76" s="94">
        <v>18000</v>
      </c>
      <c r="AE76" s="94">
        <f t="shared" si="22"/>
        <v>2616133.8256769297</v>
      </c>
    </row>
    <row r="77" spans="21:31" s="204" customFormat="1">
      <c r="W77" s="204">
        <v>70</v>
      </c>
      <c r="X77" s="205">
        <f t="shared" si="23"/>
        <v>2616133.8256769297</v>
      </c>
      <c r="Y77" s="205"/>
      <c r="Z77" s="206">
        <f t="shared" si="20"/>
        <v>2616133.8256769297</v>
      </c>
      <c r="AA77" s="206">
        <f t="shared" si="18"/>
        <v>87175.353185002212</v>
      </c>
      <c r="AB77" s="206">
        <f t="shared" si="19"/>
        <v>30085.538995284696</v>
      </c>
      <c r="AC77" s="206">
        <f t="shared" si="21"/>
        <v>57089.814189717516</v>
      </c>
      <c r="AD77" s="94">
        <v>18000</v>
      </c>
      <c r="AE77" s="206">
        <f t="shared" si="22"/>
        <v>2541044.011487212</v>
      </c>
    </row>
    <row r="78" spans="21:31">
      <c r="U78" t="s">
        <v>511</v>
      </c>
      <c r="V78" s="220">
        <v>3241044.011487212</v>
      </c>
      <c r="W78">
        <v>71</v>
      </c>
      <c r="X78" s="136">
        <f t="shared" si="23"/>
        <v>2541044.011487212</v>
      </c>
      <c r="Y78" s="136">
        <v>700000</v>
      </c>
      <c r="Z78" s="94">
        <f t="shared" si="20"/>
        <v>3241044.011487212</v>
      </c>
      <c r="AA78" s="94">
        <f>-PMT($V$79/12,$V$80,$V$78,0,0)</f>
        <v>85595.05305092741</v>
      </c>
      <c r="AB78" s="94">
        <f>($V$79/12)*Z78</f>
        <v>37272.006132102943</v>
      </c>
      <c r="AC78" s="94">
        <f t="shared" si="21"/>
        <v>48323.046918824468</v>
      </c>
      <c r="AD78" s="94"/>
      <c r="AE78" s="94">
        <f t="shared" si="22"/>
        <v>3192720.9645683877</v>
      </c>
    </row>
    <row r="79" spans="21:31">
      <c r="U79" t="s">
        <v>570</v>
      </c>
      <c r="V79" s="169">
        <v>0.13800000000000001</v>
      </c>
      <c r="W79">
        <v>72</v>
      </c>
      <c r="X79" s="136">
        <f t="shared" si="23"/>
        <v>3192720.9645683877</v>
      </c>
      <c r="Y79" s="136"/>
      <c r="Z79" s="94">
        <f t="shared" si="20"/>
        <v>3192720.9645683877</v>
      </c>
      <c r="AA79" s="94">
        <f t="shared" ref="AA79:AA127" si="24">-PMT($V$79/12,$V$80,$V$78,0,0)</f>
        <v>85595.05305092741</v>
      </c>
      <c r="AB79" s="94">
        <f t="shared" ref="AB79:AB127" si="25">($V$79/12)*Z79</f>
        <v>36716.291092536463</v>
      </c>
      <c r="AC79" s="94">
        <f t="shared" si="21"/>
        <v>48878.761958390947</v>
      </c>
      <c r="AD79" s="94"/>
      <c r="AE79" s="94">
        <f t="shared" si="22"/>
        <v>3143842.2026099968</v>
      </c>
    </row>
    <row r="80" spans="21:31">
      <c r="U80" t="s">
        <v>534</v>
      </c>
      <c r="V80">
        <f>38+12</f>
        <v>50</v>
      </c>
      <c r="W80">
        <v>73</v>
      </c>
      <c r="X80" s="136">
        <f t="shared" si="23"/>
        <v>3143842.2026099968</v>
      </c>
      <c r="Y80" s="136"/>
      <c r="Z80" s="94">
        <f t="shared" si="20"/>
        <v>3143842.2026099968</v>
      </c>
      <c r="AA80" s="94">
        <f t="shared" si="24"/>
        <v>85595.05305092741</v>
      </c>
      <c r="AB80" s="94">
        <f t="shared" si="25"/>
        <v>36154.185330014967</v>
      </c>
      <c r="AC80" s="94">
        <f t="shared" si="21"/>
        <v>49440.867720912443</v>
      </c>
      <c r="AD80" s="94"/>
      <c r="AE80" s="94">
        <f t="shared" si="22"/>
        <v>3094401.3348890841</v>
      </c>
    </row>
    <row r="81" spans="23:31">
      <c r="W81">
        <v>74</v>
      </c>
      <c r="X81" s="136">
        <f t="shared" si="23"/>
        <v>3094401.3348890841</v>
      </c>
      <c r="Y81" s="136"/>
      <c r="Z81" s="94">
        <f t="shared" si="20"/>
        <v>3094401.3348890841</v>
      </c>
      <c r="AA81" s="94">
        <f t="shared" si="24"/>
        <v>85595.05305092741</v>
      </c>
      <c r="AB81" s="94">
        <f t="shared" si="25"/>
        <v>35585.615351224471</v>
      </c>
      <c r="AC81" s="94">
        <f t="shared" si="21"/>
        <v>50009.437699702939</v>
      </c>
      <c r="AD81" s="94"/>
      <c r="AE81" s="94">
        <f t="shared" si="22"/>
        <v>3044391.8971893811</v>
      </c>
    </row>
    <row r="82" spans="23:31">
      <c r="W82">
        <v>75</v>
      </c>
      <c r="X82" s="136">
        <f t="shared" si="23"/>
        <v>3044391.8971893811</v>
      </c>
      <c r="Y82" s="136"/>
      <c r="Z82" s="94">
        <f t="shared" si="20"/>
        <v>3044391.8971893811</v>
      </c>
      <c r="AA82" s="94">
        <f t="shared" si="24"/>
        <v>85595.05305092741</v>
      </c>
      <c r="AB82" s="94">
        <f t="shared" si="25"/>
        <v>35010.506817677888</v>
      </c>
      <c r="AC82" s="94">
        <f t="shared" si="21"/>
        <v>50584.546233249523</v>
      </c>
      <c r="AD82" s="94"/>
      <c r="AE82" s="94">
        <f t="shared" si="22"/>
        <v>2993807.3509561317</v>
      </c>
    </row>
    <row r="83" spans="23:31">
      <c r="W83">
        <v>76</v>
      </c>
      <c r="X83" s="136">
        <f t="shared" si="23"/>
        <v>2993807.3509561317</v>
      </c>
      <c r="Y83" s="136"/>
      <c r="Z83" s="94">
        <f t="shared" si="20"/>
        <v>2993807.3509561317</v>
      </c>
      <c r="AA83" s="94">
        <f t="shared" si="24"/>
        <v>85595.05305092741</v>
      </c>
      <c r="AB83" s="94">
        <f t="shared" si="25"/>
        <v>34428.784535995517</v>
      </c>
      <c r="AC83" s="94">
        <f t="shared" si="21"/>
        <v>51166.268514931893</v>
      </c>
      <c r="AD83" s="94"/>
      <c r="AE83" s="94">
        <f t="shared" si="22"/>
        <v>2942641.0824412</v>
      </c>
    </row>
    <row r="84" spans="23:31">
      <c r="W84">
        <v>77</v>
      </c>
      <c r="X84" s="136">
        <f t="shared" si="23"/>
        <v>2942641.0824412</v>
      </c>
      <c r="Y84" s="136"/>
      <c r="Z84" s="94">
        <f t="shared" si="20"/>
        <v>2942641.0824412</v>
      </c>
      <c r="AA84" s="94">
        <f t="shared" si="24"/>
        <v>85595.05305092741</v>
      </c>
      <c r="AB84" s="94">
        <f t="shared" si="25"/>
        <v>33840.372448073802</v>
      </c>
      <c r="AC84" s="94">
        <f t="shared" si="21"/>
        <v>51754.680602853608</v>
      </c>
      <c r="AD84" s="94"/>
      <c r="AE84" s="94">
        <f t="shared" si="22"/>
        <v>2890886.4018383464</v>
      </c>
    </row>
    <row r="85" spans="23:31">
      <c r="W85">
        <v>78</v>
      </c>
      <c r="X85" s="136">
        <f t="shared" si="23"/>
        <v>2890886.4018383464</v>
      </c>
      <c r="Y85" s="136"/>
      <c r="Z85" s="94">
        <f t="shared" si="20"/>
        <v>2890886.4018383464</v>
      </c>
      <c r="AA85" s="94">
        <f t="shared" si="24"/>
        <v>85595.05305092741</v>
      </c>
      <c r="AB85" s="94">
        <f t="shared" si="25"/>
        <v>33245.193621140985</v>
      </c>
      <c r="AC85" s="94">
        <f t="shared" si="21"/>
        <v>52349.859429786426</v>
      </c>
      <c r="AD85" s="94"/>
      <c r="AE85" s="94">
        <f t="shared" si="22"/>
        <v>2838536.5424085599</v>
      </c>
    </row>
    <row r="86" spans="23:31">
      <c r="W86">
        <v>79</v>
      </c>
      <c r="X86" s="136">
        <f t="shared" si="23"/>
        <v>2838536.5424085599</v>
      </c>
      <c r="Y86" s="136"/>
      <c r="Z86" s="94">
        <f t="shared" si="20"/>
        <v>2838536.5424085599</v>
      </c>
      <c r="AA86" s="94">
        <f t="shared" si="24"/>
        <v>85595.05305092741</v>
      </c>
      <c r="AB86" s="94">
        <f t="shared" si="25"/>
        <v>32643.170237698443</v>
      </c>
      <c r="AC86" s="94">
        <f t="shared" si="21"/>
        <v>52951.882813228964</v>
      </c>
      <c r="AD86" s="94"/>
      <c r="AE86" s="94">
        <f t="shared" si="22"/>
        <v>2785584.6595953312</v>
      </c>
    </row>
    <row r="87" spans="23:31">
      <c r="W87">
        <v>80</v>
      </c>
      <c r="X87" s="136">
        <f t="shared" si="23"/>
        <v>2785584.6595953312</v>
      </c>
      <c r="Y87" s="136"/>
      <c r="Z87" s="94">
        <f t="shared" si="20"/>
        <v>2785584.6595953312</v>
      </c>
      <c r="AA87" s="94">
        <f t="shared" si="24"/>
        <v>85595.05305092741</v>
      </c>
      <c r="AB87" s="94">
        <f t="shared" si="25"/>
        <v>32034.223585346313</v>
      </c>
      <c r="AC87" s="94">
        <f t="shared" si="21"/>
        <v>53560.829465581097</v>
      </c>
      <c r="AD87" s="94"/>
      <c r="AE87" s="94">
        <f t="shared" si="22"/>
        <v>2732023.8301297501</v>
      </c>
    </row>
    <row r="88" spans="23:31">
      <c r="W88">
        <v>81</v>
      </c>
      <c r="X88" s="136">
        <f t="shared" si="23"/>
        <v>2732023.8301297501</v>
      </c>
      <c r="Y88" s="136"/>
      <c r="Z88" s="94">
        <f t="shared" si="20"/>
        <v>2732023.8301297501</v>
      </c>
      <c r="AA88" s="94">
        <f t="shared" si="24"/>
        <v>85595.05305092741</v>
      </c>
      <c r="AB88" s="94">
        <f t="shared" si="25"/>
        <v>31418.27404649213</v>
      </c>
      <c r="AC88" s="94">
        <f t="shared" si="21"/>
        <v>54176.779004435281</v>
      </c>
      <c r="AD88" s="94"/>
      <c r="AE88" s="94">
        <f t="shared" si="22"/>
        <v>2677847.051125315</v>
      </c>
    </row>
    <row r="89" spans="23:31">
      <c r="W89">
        <v>82</v>
      </c>
      <c r="X89" s="136">
        <f t="shared" si="23"/>
        <v>2677847.051125315</v>
      </c>
      <c r="Y89" s="136"/>
      <c r="Z89" s="94">
        <f t="shared" si="20"/>
        <v>2677847.051125315</v>
      </c>
      <c r="AA89" s="94">
        <f t="shared" si="24"/>
        <v>85595.05305092741</v>
      </c>
      <c r="AB89" s="94">
        <f t="shared" si="25"/>
        <v>30795.241087941125</v>
      </c>
      <c r="AC89" s="94">
        <f t="shared" si="21"/>
        <v>54799.811962986285</v>
      </c>
      <c r="AD89" s="94"/>
      <c r="AE89" s="94">
        <f t="shared" si="22"/>
        <v>2623047.2391623287</v>
      </c>
    </row>
    <row r="90" spans="23:31">
      <c r="W90">
        <v>83</v>
      </c>
      <c r="X90" s="136">
        <f t="shared" si="23"/>
        <v>2623047.2391623287</v>
      </c>
      <c r="Y90" s="136"/>
      <c r="Z90" s="94">
        <f t="shared" si="20"/>
        <v>2623047.2391623287</v>
      </c>
      <c r="AA90" s="94">
        <f t="shared" si="24"/>
        <v>85595.05305092741</v>
      </c>
      <c r="AB90" s="94">
        <f t="shared" si="25"/>
        <v>30165.043250366783</v>
      </c>
      <c r="AC90" s="94">
        <f t="shared" si="21"/>
        <v>55430.009800560627</v>
      </c>
      <c r="AD90" s="94"/>
      <c r="AE90" s="94">
        <f t="shared" si="22"/>
        <v>2567617.2293617679</v>
      </c>
    </row>
    <row r="91" spans="23:31">
      <c r="W91">
        <v>84</v>
      </c>
      <c r="X91" s="136">
        <f t="shared" si="23"/>
        <v>2567617.2293617679</v>
      </c>
      <c r="Y91" s="136"/>
      <c r="Z91" s="94">
        <f t="shared" si="20"/>
        <v>2567617.2293617679</v>
      </c>
      <c r="AA91" s="94">
        <f t="shared" si="24"/>
        <v>85595.05305092741</v>
      </c>
      <c r="AB91" s="94">
        <f t="shared" si="25"/>
        <v>29527.598137660334</v>
      </c>
      <c r="AC91" s="94">
        <f t="shared" si="21"/>
        <v>56067.45491326708</v>
      </c>
      <c r="AD91" s="94"/>
      <c r="AE91" s="94">
        <f t="shared" si="22"/>
        <v>2511549.7744485009</v>
      </c>
    </row>
    <row r="92" spans="23:31">
      <c r="W92">
        <v>85</v>
      </c>
      <c r="X92" s="136">
        <f t="shared" si="23"/>
        <v>2511549.7744485009</v>
      </c>
      <c r="Y92" s="136"/>
      <c r="Z92" s="94">
        <f t="shared" si="20"/>
        <v>2511549.7744485009</v>
      </c>
      <c r="AA92" s="94">
        <f t="shared" si="24"/>
        <v>85595.05305092741</v>
      </c>
      <c r="AB92" s="94">
        <f t="shared" si="25"/>
        <v>28882.822406157764</v>
      </c>
      <c r="AC92" s="94">
        <f t="shared" si="21"/>
        <v>56712.230644769646</v>
      </c>
      <c r="AD92" s="94"/>
      <c r="AE92" s="94">
        <f t="shared" si="22"/>
        <v>2454837.5438037314</v>
      </c>
    </row>
    <row r="93" spans="23:31">
      <c r="W93">
        <v>86</v>
      </c>
      <c r="X93" s="136">
        <f t="shared" si="23"/>
        <v>2454837.5438037314</v>
      </c>
      <c r="Y93" s="136"/>
      <c r="Z93" s="94">
        <f t="shared" si="20"/>
        <v>2454837.5438037314</v>
      </c>
      <c r="AA93" s="94">
        <f t="shared" si="24"/>
        <v>85595.05305092741</v>
      </c>
      <c r="AB93" s="94">
        <f t="shared" si="25"/>
        <v>28230.631753742917</v>
      </c>
      <c r="AC93" s="94">
        <f t="shared" si="21"/>
        <v>57364.421297184497</v>
      </c>
      <c r="AD93" s="94"/>
      <c r="AE93" s="94">
        <f t="shared" si="22"/>
        <v>2397473.1225065468</v>
      </c>
    </row>
    <row r="94" spans="23:31">
      <c r="W94">
        <v>87</v>
      </c>
      <c r="X94" s="136">
        <f t="shared" si="23"/>
        <v>2397473.1225065468</v>
      </c>
      <c r="Y94" s="136"/>
      <c r="Z94" s="94">
        <f t="shared" si="20"/>
        <v>2397473.1225065468</v>
      </c>
      <c r="AA94" s="94">
        <f t="shared" si="24"/>
        <v>85595.05305092741</v>
      </c>
      <c r="AB94" s="94">
        <f t="shared" si="25"/>
        <v>27570.940908825291</v>
      </c>
      <c r="AC94" s="94">
        <f t="shared" si="21"/>
        <v>58024.112142102123</v>
      </c>
      <c r="AD94" s="94"/>
      <c r="AE94" s="94">
        <f t="shared" si="22"/>
        <v>2339449.0103644445</v>
      </c>
    </row>
    <row r="95" spans="23:31">
      <c r="W95">
        <v>88</v>
      </c>
      <c r="X95" s="136">
        <f t="shared" si="23"/>
        <v>2339449.0103644445</v>
      </c>
      <c r="Y95" s="136"/>
      <c r="Z95" s="94">
        <f t="shared" si="20"/>
        <v>2339449.0103644445</v>
      </c>
      <c r="AA95" s="94">
        <f t="shared" si="24"/>
        <v>85595.05305092741</v>
      </c>
      <c r="AB95" s="94">
        <f t="shared" si="25"/>
        <v>26903.663619191117</v>
      </c>
      <c r="AC95" s="94">
        <f t="shared" si="21"/>
        <v>58691.389431736294</v>
      </c>
      <c r="AD95" s="94"/>
      <c r="AE95" s="94">
        <f t="shared" si="22"/>
        <v>2280757.620932708</v>
      </c>
    </row>
    <row r="96" spans="23:31">
      <c r="W96">
        <v>89</v>
      </c>
      <c r="X96" s="136">
        <f t="shared" si="23"/>
        <v>2280757.620932708</v>
      </c>
      <c r="Y96" s="136"/>
      <c r="Z96" s="94">
        <f t="shared" si="20"/>
        <v>2280757.620932708</v>
      </c>
      <c r="AA96" s="94">
        <f t="shared" si="24"/>
        <v>85595.05305092741</v>
      </c>
      <c r="AB96" s="94">
        <f t="shared" si="25"/>
        <v>26228.712640726146</v>
      </c>
      <c r="AC96" s="94">
        <f t="shared" si="21"/>
        <v>59366.340410201265</v>
      </c>
      <c r="AD96" s="94"/>
      <c r="AE96" s="94">
        <f t="shared" si="22"/>
        <v>2221391.2805225067</v>
      </c>
    </row>
    <row r="97" spans="23:31">
      <c r="W97">
        <v>90</v>
      </c>
      <c r="X97" s="136">
        <f t="shared" si="23"/>
        <v>2221391.2805225067</v>
      </c>
      <c r="Y97" s="136"/>
      <c r="Z97" s="94">
        <f t="shared" si="20"/>
        <v>2221391.2805225067</v>
      </c>
      <c r="AA97" s="94">
        <f t="shared" si="24"/>
        <v>85595.05305092741</v>
      </c>
      <c r="AB97" s="94">
        <f t="shared" si="25"/>
        <v>25545.999726008831</v>
      </c>
      <c r="AC97" s="94">
        <f t="shared" si="21"/>
        <v>60049.053324918583</v>
      </c>
      <c r="AD97" s="94"/>
      <c r="AE97" s="94">
        <f t="shared" si="22"/>
        <v>2161342.227197588</v>
      </c>
    </row>
    <row r="98" spans="23:31">
      <c r="W98">
        <v>91</v>
      </c>
      <c r="X98" s="136">
        <f t="shared" si="23"/>
        <v>2161342.227197588</v>
      </c>
      <c r="Y98" s="136"/>
      <c r="Z98" s="94">
        <f t="shared" si="20"/>
        <v>2161342.227197588</v>
      </c>
      <c r="AA98" s="94">
        <f t="shared" si="24"/>
        <v>85595.05305092741</v>
      </c>
      <c r="AB98" s="94">
        <f t="shared" si="25"/>
        <v>24855.435612772264</v>
      </c>
      <c r="AC98" s="94">
        <f t="shared" si="21"/>
        <v>60739.617438155146</v>
      </c>
      <c r="AD98" s="94"/>
      <c r="AE98" s="94">
        <f t="shared" si="22"/>
        <v>2100602.6097594327</v>
      </c>
    </row>
    <row r="99" spans="23:31">
      <c r="W99">
        <v>92</v>
      </c>
      <c r="X99" s="136">
        <f t="shared" si="23"/>
        <v>2100602.6097594327</v>
      </c>
      <c r="Y99" s="136"/>
      <c r="Z99" s="94">
        <f t="shared" si="20"/>
        <v>2100602.6097594327</v>
      </c>
      <c r="AA99" s="94">
        <f t="shared" si="24"/>
        <v>85595.05305092741</v>
      </c>
      <c r="AB99" s="94">
        <f t="shared" si="25"/>
        <v>24156.930012233479</v>
      </c>
      <c r="AC99" s="94">
        <f t="shared" si="21"/>
        <v>61438.123038693928</v>
      </c>
      <c r="AD99" s="94"/>
      <c r="AE99" s="94">
        <f t="shared" si="22"/>
        <v>2039164.4867207387</v>
      </c>
    </row>
    <row r="100" spans="23:31">
      <c r="W100">
        <v>93</v>
      </c>
      <c r="X100" s="136">
        <f t="shared" si="23"/>
        <v>2039164.4867207387</v>
      </c>
      <c r="Y100" s="136"/>
      <c r="Z100" s="94">
        <f t="shared" si="20"/>
        <v>2039164.4867207387</v>
      </c>
      <c r="AA100" s="94">
        <f t="shared" si="24"/>
        <v>85595.05305092741</v>
      </c>
      <c r="AB100" s="94">
        <f t="shared" si="25"/>
        <v>23450.391597288497</v>
      </c>
      <c r="AC100" s="94">
        <f t="shared" si="21"/>
        <v>62144.66145363891</v>
      </c>
      <c r="AD100" s="94"/>
      <c r="AE100" s="94">
        <f t="shared" si="22"/>
        <v>1977019.8252670998</v>
      </c>
    </row>
    <row r="101" spans="23:31">
      <c r="W101">
        <v>94</v>
      </c>
      <c r="X101" s="136">
        <f t="shared" si="23"/>
        <v>1977019.8252670998</v>
      </c>
      <c r="Y101" s="136"/>
      <c r="Z101" s="94">
        <f t="shared" si="20"/>
        <v>1977019.8252670998</v>
      </c>
      <c r="AA101" s="94">
        <f t="shared" si="24"/>
        <v>85595.05305092741</v>
      </c>
      <c r="AB101" s="94">
        <f t="shared" si="25"/>
        <v>22735.72799057165</v>
      </c>
      <c r="AC101" s="94">
        <f t="shared" si="21"/>
        <v>62859.325060355761</v>
      </c>
      <c r="AD101" s="94"/>
      <c r="AE101" s="94">
        <f t="shared" si="22"/>
        <v>1914160.5002067441</v>
      </c>
    </row>
    <row r="102" spans="23:31">
      <c r="W102">
        <v>95</v>
      </c>
      <c r="X102" s="136">
        <f t="shared" si="23"/>
        <v>1914160.5002067441</v>
      </c>
      <c r="Y102" s="136"/>
      <c r="Z102" s="94">
        <f t="shared" si="20"/>
        <v>1914160.5002067441</v>
      </c>
      <c r="AA102" s="94">
        <f t="shared" si="24"/>
        <v>85595.05305092741</v>
      </c>
      <c r="AB102" s="94">
        <f t="shared" si="25"/>
        <v>22012.845752377561</v>
      </c>
      <c r="AC102" s="94">
        <f t="shared" si="21"/>
        <v>63582.207298549853</v>
      </c>
      <c r="AD102" s="94"/>
      <c r="AE102" s="94">
        <f t="shared" si="22"/>
        <v>1850578.2929081942</v>
      </c>
    </row>
    <row r="103" spans="23:31">
      <c r="W103">
        <v>96</v>
      </c>
      <c r="X103" s="136">
        <f t="shared" si="23"/>
        <v>1850578.2929081942</v>
      </c>
      <c r="Y103" s="136"/>
      <c r="Z103" s="94">
        <f t="shared" si="20"/>
        <v>1850578.2929081942</v>
      </c>
      <c r="AA103" s="94">
        <f t="shared" si="24"/>
        <v>85595.05305092741</v>
      </c>
      <c r="AB103" s="94">
        <f t="shared" si="25"/>
        <v>21281.650368444236</v>
      </c>
      <c r="AC103" s="94">
        <f t="shared" si="21"/>
        <v>64313.402682483174</v>
      </c>
      <c r="AD103" s="94"/>
      <c r="AE103" s="94">
        <f t="shared" si="22"/>
        <v>1786264.890225711</v>
      </c>
    </row>
    <row r="104" spans="23:31">
      <c r="W104">
        <v>97</v>
      </c>
      <c r="X104" s="136">
        <f t="shared" si="23"/>
        <v>1786264.890225711</v>
      </c>
      <c r="Y104" s="136"/>
      <c r="Z104" s="94">
        <f t="shared" si="20"/>
        <v>1786264.890225711</v>
      </c>
      <c r="AA104" s="94">
        <f t="shared" si="24"/>
        <v>85595.05305092741</v>
      </c>
      <c r="AB104" s="94">
        <f t="shared" si="25"/>
        <v>20542.046237595681</v>
      </c>
      <c r="AC104" s="94">
        <f t="shared" si="21"/>
        <v>65053.006813331725</v>
      </c>
      <c r="AD104" s="94"/>
      <c r="AE104" s="94">
        <f t="shared" si="22"/>
        <v>1721211.8834123793</v>
      </c>
    </row>
    <row r="105" spans="23:31">
      <c r="W105">
        <v>98</v>
      </c>
      <c r="X105" s="136">
        <f t="shared" si="23"/>
        <v>1721211.8834123793</v>
      </c>
      <c r="Y105" s="136"/>
      <c r="Z105" s="94">
        <f t="shared" si="20"/>
        <v>1721211.8834123793</v>
      </c>
      <c r="AA105" s="94">
        <f t="shared" si="24"/>
        <v>85595.05305092741</v>
      </c>
      <c r="AB105" s="94">
        <f t="shared" si="25"/>
        <v>19793.936659242365</v>
      </c>
      <c r="AC105" s="94">
        <f t="shared" si="21"/>
        <v>65801.116391685049</v>
      </c>
      <c r="AD105" s="94"/>
      <c r="AE105" s="94">
        <f t="shared" si="22"/>
        <v>1655410.7670206942</v>
      </c>
    </row>
    <row r="106" spans="23:31">
      <c r="W106">
        <v>99</v>
      </c>
      <c r="X106" s="136">
        <f t="shared" si="23"/>
        <v>1655410.7670206942</v>
      </c>
      <c r="Y106" s="136"/>
      <c r="Z106" s="94">
        <f t="shared" si="20"/>
        <v>1655410.7670206942</v>
      </c>
      <c r="AA106" s="94">
        <f t="shared" si="24"/>
        <v>85595.05305092741</v>
      </c>
      <c r="AB106" s="94">
        <f t="shared" si="25"/>
        <v>19037.223820737985</v>
      </c>
      <c r="AC106" s="94">
        <f t="shared" si="21"/>
        <v>66557.829230189425</v>
      </c>
      <c r="AD106" s="94"/>
      <c r="AE106" s="94">
        <f t="shared" si="22"/>
        <v>1588852.9377905049</v>
      </c>
    </row>
    <row r="107" spans="23:31">
      <c r="W107">
        <v>100</v>
      </c>
      <c r="X107" s="136">
        <f t="shared" si="23"/>
        <v>1588852.9377905049</v>
      </c>
      <c r="Y107" s="136"/>
      <c r="Z107" s="94">
        <f t="shared" si="20"/>
        <v>1588852.9377905049</v>
      </c>
      <c r="AA107" s="94">
        <f t="shared" si="24"/>
        <v>85595.05305092741</v>
      </c>
      <c r="AB107" s="94">
        <f t="shared" si="25"/>
        <v>18271.808784590809</v>
      </c>
      <c r="AC107" s="94">
        <f t="shared" si="21"/>
        <v>67323.244266336609</v>
      </c>
      <c r="AD107" s="94"/>
      <c r="AE107" s="94">
        <f t="shared" si="22"/>
        <v>1521529.6935241683</v>
      </c>
    </row>
    <row r="108" spans="23:31">
      <c r="W108">
        <v>101</v>
      </c>
      <c r="X108" s="136">
        <f t="shared" si="23"/>
        <v>1521529.6935241683</v>
      </c>
      <c r="Y108" s="136"/>
      <c r="Z108" s="94">
        <f t="shared" si="20"/>
        <v>1521529.6935241683</v>
      </c>
      <c r="AA108" s="94">
        <f t="shared" si="24"/>
        <v>85595.05305092741</v>
      </c>
      <c r="AB108" s="94">
        <f t="shared" si="25"/>
        <v>17497.591475527937</v>
      </c>
      <c r="AC108" s="94">
        <f t="shared" si="21"/>
        <v>68097.461575399473</v>
      </c>
      <c r="AD108" s="94"/>
      <c r="AE108" s="94">
        <f t="shared" si="22"/>
        <v>1453432.231948769</v>
      </c>
    </row>
    <row r="109" spans="23:31">
      <c r="W109">
        <v>102</v>
      </c>
      <c r="X109" s="136">
        <f t="shared" si="23"/>
        <v>1453432.231948769</v>
      </c>
      <c r="Y109" s="136"/>
      <c r="Z109" s="94">
        <f t="shared" si="20"/>
        <v>1453432.231948769</v>
      </c>
      <c r="AA109" s="94">
        <f t="shared" si="24"/>
        <v>85595.05305092741</v>
      </c>
      <c r="AB109" s="94">
        <f t="shared" si="25"/>
        <v>16714.470667410846</v>
      </c>
      <c r="AC109" s="94">
        <f t="shared" si="21"/>
        <v>68880.582383516565</v>
      </c>
      <c r="AD109" s="94"/>
      <c r="AE109" s="94">
        <f t="shared" si="22"/>
        <v>1384551.6495652525</v>
      </c>
    </row>
    <row r="110" spans="23:31">
      <c r="W110">
        <v>103</v>
      </c>
      <c r="X110" s="136">
        <f t="shared" si="23"/>
        <v>1384551.6495652525</v>
      </c>
      <c r="Y110" s="136"/>
      <c r="Z110" s="94">
        <f t="shared" si="20"/>
        <v>1384551.6495652525</v>
      </c>
      <c r="AA110" s="94">
        <f t="shared" si="24"/>
        <v>85595.05305092741</v>
      </c>
      <c r="AB110" s="94">
        <f t="shared" si="25"/>
        <v>15922.343970000406</v>
      </c>
      <c r="AC110" s="94">
        <f t="shared" si="21"/>
        <v>69672.709080927001</v>
      </c>
      <c r="AD110" s="94"/>
      <c r="AE110" s="94">
        <f t="shared" si="22"/>
        <v>1314878.9404843254</v>
      </c>
    </row>
    <row r="111" spans="23:31">
      <c r="W111">
        <v>104</v>
      </c>
      <c r="X111" s="136">
        <f t="shared" si="23"/>
        <v>1314878.9404843254</v>
      </c>
      <c r="Y111" s="136"/>
      <c r="Z111" s="94">
        <f t="shared" si="20"/>
        <v>1314878.9404843254</v>
      </c>
      <c r="AA111" s="94">
        <f t="shared" si="24"/>
        <v>85595.05305092741</v>
      </c>
      <c r="AB111" s="94">
        <f t="shared" si="25"/>
        <v>15121.107815569743</v>
      </c>
      <c r="AC111" s="94">
        <f t="shared" si="21"/>
        <v>70473.945235357663</v>
      </c>
      <c r="AD111" s="94"/>
      <c r="AE111" s="94">
        <f t="shared" si="22"/>
        <v>1244404.9952489678</v>
      </c>
    </row>
    <row r="112" spans="23:31">
      <c r="W112">
        <v>105</v>
      </c>
      <c r="X112" s="136">
        <f t="shared" si="23"/>
        <v>1244404.9952489678</v>
      </c>
      <c r="Y112" s="136"/>
      <c r="Z112" s="94">
        <f t="shared" si="20"/>
        <v>1244404.9952489678</v>
      </c>
      <c r="AA112" s="94">
        <f t="shared" si="24"/>
        <v>85595.05305092741</v>
      </c>
      <c r="AB112" s="94">
        <f t="shared" si="25"/>
        <v>14310.657445363131</v>
      </c>
      <c r="AC112" s="94">
        <f t="shared" si="21"/>
        <v>71284.395605564278</v>
      </c>
      <c r="AD112" s="94"/>
      <c r="AE112" s="94">
        <f t="shared" si="22"/>
        <v>1173120.5996434034</v>
      </c>
    </row>
    <row r="113" spans="23:31">
      <c r="W113">
        <v>106</v>
      </c>
      <c r="X113" s="136">
        <f t="shared" si="23"/>
        <v>1173120.5996434034</v>
      </c>
      <c r="Y113" s="136"/>
      <c r="Z113" s="94">
        <f t="shared" si="20"/>
        <v>1173120.5996434034</v>
      </c>
      <c r="AA113" s="94">
        <f t="shared" si="24"/>
        <v>85595.05305092741</v>
      </c>
      <c r="AB113" s="94">
        <f t="shared" si="25"/>
        <v>13490.886895899141</v>
      </c>
      <c r="AC113" s="94">
        <f t="shared" si="21"/>
        <v>72104.166155028273</v>
      </c>
      <c r="AD113" s="94"/>
      <c r="AE113" s="94">
        <f t="shared" si="22"/>
        <v>1101016.433488375</v>
      </c>
    </row>
    <row r="114" spans="23:31">
      <c r="W114">
        <v>107</v>
      </c>
      <c r="X114" s="136">
        <f t="shared" si="23"/>
        <v>1101016.433488375</v>
      </c>
      <c r="Y114" s="136"/>
      <c r="Z114" s="94">
        <f t="shared" si="20"/>
        <v>1101016.433488375</v>
      </c>
      <c r="AA114" s="94">
        <f t="shared" si="24"/>
        <v>85595.05305092741</v>
      </c>
      <c r="AB114" s="94">
        <f t="shared" si="25"/>
        <v>12661.688985116314</v>
      </c>
      <c r="AC114" s="94">
        <f t="shared" si="21"/>
        <v>72933.364065811096</v>
      </c>
      <c r="AD114" s="94"/>
      <c r="AE114" s="94">
        <f t="shared" si="22"/>
        <v>1028083.069422564</v>
      </c>
    </row>
    <row r="115" spans="23:31">
      <c r="W115">
        <v>108</v>
      </c>
      <c r="X115" s="136">
        <f t="shared" si="23"/>
        <v>1028083.069422564</v>
      </c>
      <c r="Y115" s="136"/>
      <c r="Z115" s="94">
        <f t="shared" si="20"/>
        <v>1028083.069422564</v>
      </c>
      <c r="AA115" s="94">
        <f t="shared" si="24"/>
        <v>85595.05305092741</v>
      </c>
      <c r="AB115" s="94">
        <f t="shared" si="25"/>
        <v>11822.955298359488</v>
      </c>
      <c r="AC115" s="94">
        <f t="shared" si="21"/>
        <v>73772.097752567919</v>
      </c>
      <c r="AD115" s="94"/>
      <c r="AE115" s="94">
        <f t="shared" si="22"/>
        <v>954310.97166999604</v>
      </c>
    </row>
    <row r="116" spans="23:31">
      <c r="W116">
        <v>109</v>
      </c>
      <c r="X116" s="136">
        <f t="shared" si="23"/>
        <v>954310.97166999604</v>
      </c>
      <c r="Y116" s="207"/>
      <c r="Z116" s="94">
        <f t="shared" si="20"/>
        <v>954310.97166999604</v>
      </c>
      <c r="AA116" s="94">
        <f t="shared" si="24"/>
        <v>85595.05305092741</v>
      </c>
      <c r="AB116" s="94">
        <f t="shared" si="25"/>
        <v>10974.576174204956</v>
      </c>
      <c r="AC116" s="94">
        <f t="shared" si="21"/>
        <v>74620.47687672246</v>
      </c>
      <c r="AD116" s="208"/>
      <c r="AE116" s="94">
        <f t="shared" si="22"/>
        <v>879690.49479327362</v>
      </c>
    </row>
    <row r="117" spans="23:31">
      <c r="W117">
        <v>110</v>
      </c>
      <c r="X117" s="136">
        <f t="shared" si="23"/>
        <v>879690.49479327362</v>
      </c>
      <c r="Y117" s="207"/>
      <c r="Z117" s="94">
        <f t="shared" si="20"/>
        <v>879690.49479327362</v>
      </c>
      <c r="AA117" s="94">
        <f t="shared" si="24"/>
        <v>85595.05305092741</v>
      </c>
      <c r="AB117" s="94">
        <f t="shared" si="25"/>
        <v>10116.440690122648</v>
      </c>
      <c r="AC117" s="94">
        <f t="shared" si="21"/>
        <v>75478.612360804764</v>
      </c>
      <c r="AD117" s="208"/>
      <c r="AE117" s="94">
        <f t="shared" si="22"/>
        <v>804211.88243246882</v>
      </c>
    </row>
    <row r="118" spans="23:31">
      <c r="W118">
        <v>111</v>
      </c>
      <c r="X118" s="136">
        <f t="shared" si="23"/>
        <v>804211.88243246882</v>
      </c>
      <c r="Y118" s="207"/>
      <c r="Z118" s="94">
        <f t="shared" si="20"/>
        <v>804211.88243246882</v>
      </c>
      <c r="AA118" s="94">
        <f t="shared" si="24"/>
        <v>85595.05305092741</v>
      </c>
      <c r="AB118" s="94">
        <f t="shared" si="25"/>
        <v>9248.4366479733926</v>
      </c>
      <c r="AC118" s="94">
        <f t="shared" si="21"/>
        <v>76346.616402954023</v>
      </c>
      <c r="AD118" s="208"/>
      <c r="AE118" s="94">
        <f t="shared" si="22"/>
        <v>727865.26602951484</v>
      </c>
    </row>
    <row r="119" spans="23:31">
      <c r="W119">
        <v>112</v>
      </c>
      <c r="X119" s="136">
        <f t="shared" si="23"/>
        <v>727865.26602951484</v>
      </c>
      <c r="Y119" s="207"/>
      <c r="Z119" s="94">
        <f t="shared" si="20"/>
        <v>727865.26602951484</v>
      </c>
      <c r="AA119" s="94">
        <f t="shared" si="24"/>
        <v>85595.05305092741</v>
      </c>
      <c r="AB119" s="94">
        <f t="shared" si="25"/>
        <v>8370.4505593394224</v>
      </c>
      <c r="AC119" s="94">
        <f t="shared" si="21"/>
        <v>77224.602491587983</v>
      </c>
      <c r="AD119" s="208"/>
      <c r="AE119" s="94">
        <f t="shared" si="22"/>
        <v>650640.66353792686</v>
      </c>
    </row>
    <row r="120" spans="23:31">
      <c r="W120">
        <v>113</v>
      </c>
      <c r="X120" s="136">
        <f t="shared" si="23"/>
        <v>650640.66353792686</v>
      </c>
      <c r="Y120" s="207"/>
      <c r="Z120" s="94">
        <f t="shared" si="20"/>
        <v>650640.66353792686</v>
      </c>
      <c r="AA120" s="94">
        <f t="shared" si="24"/>
        <v>85595.05305092741</v>
      </c>
      <c r="AB120" s="94">
        <f t="shared" si="25"/>
        <v>7482.3676306861598</v>
      </c>
      <c r="AC120" s="94">
        <f t="shared" si="21"/>
        <v>78112.685420241251</v>
      </c>
      <c r="AD120" s="208"/>
      <c r="AE120" s="94">
        <f t="shared" si="22"/>
        <v>572527.97811768565</v>
      </c>
    </row>
    <row r="121" spans="23:31">
      <c r="W121">
        <v>114</v>
      </c>
      <c r="X121" s="136">
        <f t="shared" si="23"/>
        <v>572527.97811768565</v>
      </c>
      <c r="Y121" s="207"/>
      <c r="Z121" s="94">
        <f t="shared" si="20"/>
        <v>572527.97811768565</v>
      </c>
      <c r="AA121" s="94">
        <f t="shared" si="24"/>
        <v>85595.05305092741</v>
      </c>
      <c r="AB121" s="94">
        <f t="shared" si="25"/>
        <v>6584.0717483533863</v>
      </c>
      <c r="AC121" s="94">
        <f t="shared" si="21"/>
        <v>79010.98130257403</v>
      </c>
      <c r="AD121" s="208"/>
      <c r="AE121" s="94">
        <f t="shared" si="22"/>
        <v>493516.9968151116</v>
      </c>
    </row>
    <row r="122" spans="23:31">
      <c r="W122">
        <v>115</v>
      </c>
      <c r="X122" s="136">
        <f t="shared" si="23"/>
        <v>493516.9968151116</v>
      </c>
      <c r="Y122" s="207"/>
      <c r="Z122" s="94">
        <f t="shared" si="20"/>
        <v>493516.9968151116</v>
      </c>
      <c r="AA122" s="94">
        <f t="shared" si="24"/>
        <v>85595.05305092741</v>
      </c>
      <c r="AB122" s="94">
        <f t="shared" si="25"/>
        <v>5675.4454633737842</v>
      </c>
      <c r="AC122" s="94">
        <f t="shared" si="21"/>
        <v>79919.607587553619</v>
      </c>
      <c r="AD122" s="208"/>
      <c r="AE122" s="94">
        <f t="shared" si="22"/>
        <v>413597.38922755799</v>
      </c>
    </row>
    <row r="123" spans="23:31">
      <c r="W123">
        <v>116</v>
      </c>
      <c r="X123" s="136">
        <f t="shared" si="23"/>
        <v>413597.38922755799</v>
      </c>
      <c r="Y123" s="207"/>
      <c r="Z123" s="94">
        <f t="shared" si="20"/>
        <v>413597.38922755799</v>
      </c>
      <c r="AA123" s="94">
        <f t="shared" si="24"/>
        <v>85595.05305092741</v>
      </c>
      <c r="AB123" s="94">
        <f t="shared" si="25"/>
        <v>4756.3699761169173</v>
      </c>
      <c r="AC123" s="94">
        <f t="shared" si="21"/>
        <v>80838.683074810499</v>
      </c>
      <c r="AD123" s="208"/>
      <c r="AE123" s="94">
        <f t="shared" si="22"/>
        <v>332758.7061527475</v>
      </c>
    </row>
    <row r="124" spans="23:31">
      <c r="W124">
        <v>117</v>
      </c>
      <c r="X124" s="136">
        <f t="shared" si="23"/>
        <v>332758.7061527475</v>
      </c>
      <c r="Y124" s="207"/>
      <c r="Z124" s="94">
        <f t="shared" si="20"/>
        <v>332758.7061527475</v>
      </c>
      <c r="AA124" s="94">
        <f t="shared" si="24"/>
        <v>85595.05305092741</v>
      </c>
      <c r="AB124" s="94">
        <f t="shared" si="25"/>
        <v>3826.7251207565969</v>
      </c>
      <c r="AC124" s="94">
        <f t="shared" si="21"/>
        <v>81768.32793017081</v>
      </c>
      <c r="AD124" s="208"/>
      <c r="AE124" s="94">
        <f t="shared" si="22"/>
        <v>250990.37822257669</v>
      </c>
    </row>
    <row r="125" spans="23:31">
      <c r="W125">
        <v>118</v>
      </c>
      <c r="X125" s="136">
        <f t="shared" si="23"/>
        <v>250990.37822257669</v>
      </c>
      <c r="Y125" s="207"/>
      <c r="Z125" s="94">
        <f t="shared" si="20"/>
        <v>250990.37822257669</v>
      </c>
      <c r="AA125" s="94">
        <f t="shared" si="24"/>
        <v>85595.05305092741</v>
      </c>
      <c r="AB125" s="94">
        <f t="shared" si="25"/>
        <v>2886.3893495596321</v>
      </c>
      <c r="AC125" s="94">
        <f t="shared" si="21"/>
        <v>82708.663701367783</v>
      </c>
      <c r="AD125" s="208"/>
      <c r="AE125" s="94">
        <f t="shared" si="22"/>
        <v>168281.71452120889</v>
      </c>
    </row>
    <row r="126" spans="23:31">
      <c r="W126">
        <v>119</v>
      </c>
      <c r="X126" s="136">
        <f t="shared" si="23"/>
        <v>168281.71452120889</v>
      </c>
      <c r="Y126" s="207"/>
      <c r="Z126" s="94">
        <f t="shared" si="20"/>
        <v>168281.71452120889</v>
      </c>
      <c r="AA126" s="94">
        <f t="shared" si="24"/>
        <v>85595.05305092741</v>
      </c>
      <c r="AB126" s="94">
        <f t="shared" si="25"/>
        <v>1935.2397169939024</v>
      </c>
      <c r="AC126" s="94">
        <f t="shared" si="21"/>
        <v>83659.813333933504</v>
      </c>
      <c r="AD126" s="208"/>
      <c r="AE126" s="94">
        <f t="shared" si="22"/>
        <v>84621.901187275391</v>
      </c>
    </row>
    <row r="127" spans="23:31">
      <c r="W127">
        <v>120</v>
      </c>
      <c r="X127" s="136">
        <f t="shared" si="23"/>
        <v>84621.901187275391</v>
      </c>
      <c r="Y127" s="207"/>
      <c r="Z127" s="94">
        <f t="shared" si="20"/>
        <v>84621.901187275391</v>
      </c>
      <c r="AA127" s="94">
        <f t="shared" si="24"/>
        <v>85595.05305092741</v>
      </c>
      <c r="AB127" s="94">
        <f t="shared" si="25"/>
        <v>973.15186365366708</v>
      </c>
      <c r="AC127" s="94">
        <f t="shared" si="21"/>
        <v>84621.901187273746</v>
      </c>
      <c r="AD127" s="208"/>
      <c r="AE127" s="94">
        <f t="shared" si="22"/>
        <v>1.6443664208054543E-9</v>
      </c>
    </row>
  </sheetData>
  <mergeCells count="1">
    <mergeCell ref="A1:G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E1A97-D002-45E3-93D6-2087E5C20524}">
  <dimension ref="A1:P24"/>
  <sheetViews>
    <sheetView topLeftCell="A17" workbookViewId="0">
      <selection activeCell="B6" sqref="B6:O7"/>
    </sheetView>
  </sheetViews>
  <sheetFormatPr defaultRowHeight="14.5"/>
  <sheetData>
    <row r="1" spans="1:16" ht="21">
      <c r="A1" s="14" t="s">
        <v>27</v>
      </c>
      <c r="B1" s="14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20.5">
      <c r="A2" s="16" t="s">
        <v>28</v>
      </c>
      <c r="B2" s="16" t="s">
        <v>29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</row>
    <row r="3" spans="1:16" ht="20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</row>
    <row r="4" spans="1:16" ht="20.5">
      <c r="A4" s="16"/>
      <c r="B4" s="17" t="s">
        <v>30</v>
      </c>
      <c r="C4" s="16" t="s">
        <v>31</v>
      </c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16" ht="20.5">
      <c r="A5" s="16"/>
      <c r="B5" s="17" t="s">
        <v>32</v>
      </c>
      <c r="C5" s="16" t="s">
        <v>33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16" ht="20.5">
      <c r="A6" s="16"/>
      <c r="B6" s="17" t="s">
        <v>34</v>
      </c>
      <c r="C6" s="16" t="s">
        <v>35</v>
      </c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1:16" ht="20.5">
      <c r="A7" s="16"/>
      <c r="B7" s="17"/>
      <c r="C7" s="16" t="s">
        <v>36</v>
      </c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</row>
    <row r="8" spans="1:16" ht="20.5">
      <c r="A8" s="16"/>
      <c r="B8" s="17" t="s">
        <v>37</v>
      </c>
      <c r="C8" s="16" t="s">
        <v>38</v>
      </c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</row>
    <row r="9" spans="1:16" ht="20.5">
      <c r="A9" s="16"/>
      <c r="B9" s="17" t="s">
        <v>39</v>
      </c>
      <c r="C9" s="16" t="s">
        <v>40</v>
      </c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</row>
    <row r="10" spans="1:16" ht="20.5">
      <c r="A10" s="16"/>
      <c r="B10" s="17"/>
      <c r="C10" s="16" t="s">
        <v>41</v>
      </c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</row>
    <row r="11" spans="1:16" ht="20.5">
      <c r="A11" s="16"/>
      <c r="B11" s="17" t="s">
        <v>42</v>
      </c>
      <c r="C11" s="16" t="s">
        <v>43</v>
      </c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16" ht="20.5">
      <c r="A12" s="16"/>
      <c r="B12" s="17" t="s">
        <v>44</v>
      </c>
      <c r="C12" s="16" t="s">
        <v>45</v>
      </c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16" ht="20.5">
      <c r="A13" s="16"/>
      <c r="B13" s="17" t="s">
        <v>46</v>
      </c>
      <c r="C13" s="16" t="s">
        <v>47</v>
      </c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</row>
    <row r="14" spans="1:16" ht="20.5">
      <c r="A14" s="16"/>
      <c r="B14" s="17" t="s">
        <v>48</v>
      </c>
      <c r="C14" s="16" t="s">
        <v>49</v>
      </c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spans="1:16" ht="20.5">
      <c r="A15" s="16"/>
      <c r="B15" s="17"/>
      <c r="C15" s="16" t="s">
        <v>50</v>
      </c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</row>
    <row r="16" spans="1:16" ht="20.5">
      <c r="A16" s="16"/>
      <c r="B16" s="17" t="s">
        <v>51</v>
      </c>
      <c r="C16" s="16" t="s">
        <v>52</v>
      </c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</row>
    <row r="17" spans="1:16" ht="20.5">
      <c r="A17" s="16"/>
      <c r="B17" s="17" t="s">
        <v>53</v>
      </c>
      <c r="C17" s="16" t="s">
        <v>54</v>
      </c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</row>
    <row r="18" spans="1:16" ht="20.5">
      <c r="A18" s="16"/>
      <c r="B18" s="16"/>
      <c r="C18" s="16" t="s">
        <v>55</v>
      </c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16" ht="2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</row>
    <row r="20" spans="1:16" ht="21">
      <c r="A20" s="15"/>
      <c r="B20" s="18" t="s">
        <v>56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</row>
    <row r="21" spans="1:16" ht="21">
      <c r="A21" s="15"/>
      <c r="B21" s="16" t="s">
        <v>57</v>
      </c>
      <c r="C21" s="16" t="s">
        <v>58</v>
      </c>
      <c r="D21" s="19"/>
      <c r="E21" s="19"/>
      <c r="F21" s="19"/>
      <c r="G21" s="19"/>
      <c r="H21" s="19"/>
      <c r="I21" s="19"/>
      <c r="J21" s="16"/>
      <c r="K21" s="19"/>
      <c r="L21" s="19"/>
      <c r="M21" s="19"/>
      <c r="N21" s="15"/>
      <c r="O21" s="16" t="s">
        <v>59</v>
      </c>
      <c r="P21" s="16"/>
    </row>
    <row r="22" spans="1:16" ht="21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6"/>
      <c r="P22" s="16"/>
    </row>
    <row r="23" spans="1:16" ht="21">
      <c r="A23" s="15"/>
      <c r="B23" s="16" t="s">
        <v>60</v>
      </c>
      <c r="C23" s="16" t="s">
        <v>61</v>
      </c>
      <c r="D23" s="19"/>
      <c r="E23" s="19"/>
      <c r="F23" s="19"/>
      <c r="G23" s="19"/>
      <c r="H23" s="19"/>
      <c r="I23" s="19"/>
      <c r="J23" s="16"/>
      <c r="K23" s="19"/>
      <c r="L23" s="19"/>
      <c r="M23" s="15"/>
      <c r="N23" s="15"/>
      <c r="O23" s="16" t="s">
        <v>26</v>
      </c>
      <c r="P23" s="16"/>
    </row>
    <row r="24" spans="1:16" ht="21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6"/>
      <c r="P24" s="16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3A409-38ED-4128-9009-5B8831863E84}">
  <dimension ref="A1"/>
  <sheetViews>
    <sheetView topLeftCell="A13" workbookViewId="0">
      <selection activeCell="N18" sqref="N18"/>
    </sheetView>
  </sheetViews>
  <sheetFormatPr defaultRowHeight="14.5"/>
  <sheetData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70946-F222-48BF-90AC-722FAA6D1312}">
  <dimension ref="A1:K51"/>
  <sheetViews>
    <sheetView topLeftCell="A19" workbookViewId="0">
      <selection activeCell="B24" sqref="B24:E24"/>
    </sheetView>
  </sheetViews>
  <sheetFormatPr defaultRowHeight="14.5"/>
  <cols>
    <col min="2" max="2" width="40.54296875" customWidth="1"/>
    <col min="3" max="3" width="11.81640625" customWidth="1"/>
    <col min="4" max="4" width="10.1796875" customWidth="1"/>
    <col min="5" max="5" width="11.1796875" customWidth="1"/>
  </cols>
  <sheetData>
    <row r="1" spans="1:11" ht="15.5">
      <c r="A1" s="76" t="s">
        <v>27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5.5">
      <c r="A2" s="1" t="s">
        <v>257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15.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.5">
      <c r="A4" s="1" t="s">
        <v>258</v>
      </c>
      <c r="B4" s="1"/>
      <c r="C4" s="1"/>
      <c r="D4" s="1"/>
      <c r="E4" s="2"/>
      <c r="F4" s="1"/>
      <c r="G4" s="1"/>
      <c r="H4" s="1"/>
      <c r="I4" s="1"/>
      <c r="J4" s="1"/>
      <c r="K4" s="1"/>
    </row>
    <row r="5" spans="1:11" ht="15.5">
      <c r="A5" s="1"/>
      <c r="B5" s="1"/>
      <c r="C5" s="1"/>
      <c r="D5" s="1"/>
      <c r="E5" s="2"/>
      <c r="F5" s="8" t="s">
        <v>259</v>
      </c>
      <c r="G5" s="1"/>
      <c r="H5" s="1"/>
      <c r="I5" s="1"/>
      <c r="J5" s="1"/>
      <c r="K5" s="1"/>
    </row>
    <row r="6" spans="1:11" ht="15.5">
      <c r="A6" s="1"/>
      <c r="B6" s="77"/>
      <c r="C6" s="68" t="s">
        <v>260</v>
      </c>
      <c r="D6" s="8">
        <v>2025</v>
      </c>
      <c r="E6" s="8">
        <v>2026</v>
      </c>
      <c r="F6" s="8">
        <v>2027</v>
      </c>
      <c r="G6" s="8">
        <v>2028</v>
      </c>
      <c r="H6" s="8">
        <v>2029</v>
      </c>
      <c r="I6" s="2"/>
      <c r="J6" s="1"/>
      <c r="K6" s="1"/>
    </row>
    <row r="7" spans="1:11" ht="15.5">
      <c r="A7" s="1" t="s">
        <v>261</v>
      </c>
      <c r="B7" s="77"/>
      <c r="C7" s="69">
        <v>500000</v>
      </c>
      <c r="D7" s="2"/>
      <c r="E7" s="2"/>
      <c r="F7" s="2"/>
      <c r="G7" s="2"/>
      <c r="H7" s="2"/>
      <c r="I7" s="1"/>
      <c r="J7" s="1"/>
      <c r="K7" s="1"/>
    </row>
    <row r="8" spans="1:11" ht="15.5">
      <c r="A8" s="1" t="s">
        <v>262</v>
      </c>
      <c r="B8" s="77"/>
      <c r="C8" s="79"/>
      <c r="D8" s="1"/>
      <c r="E8" s="1"/>
      <c r="F8" s="1"/>
      <c r="G8" s="1"/>
      <c r="H8" s="90">
        <v>70000</v>
      </c>
      <c r="I8" s="1"/>
      <c r="J8" s="1"/>
      <c r="K8" s="1"/>
    </row>
    <row r="9" spans="1:11" ht="15.5">
      <c r="A9" s="1" t="s">
        <v>263</v>
      </c>
      <c r="B9" s="77"/>
      <c r="C9" s="2"/>
      <c r="D9" s="91">
        <v>60000</v>
      </c>
      <c r="E9" s="69">
        <v>60000</v>
      </c>
      <c r="F9" s="69">
        <v>60000</v>
      </c>
      <c r="G9" s="69">
        <v>50000</v>
      </c>
      <c r="H9" s="90">
        <v>40000</v>
      </c>
      <c r="I9" s="1"/>
      <c r="J9" s="1"/>
      <c r="K9" s="1"/>
    </row>
    <row r="10" spans="1:11" ht="15.5">
      <c r="A10" s="1" t="s">
        <v>264</v>
      </c>
      <c r="B10" s="77"/>
      <c r="C10" s="78"/>
      <c r="D10" s="69">
        <v>5000</v>
      </c>
      <c r="E10" s="69">
        <v>5500</v>
      </c>
      <c r="F10" s="69">
        <v>6000</v>
      </c>
      <c r="G10" s="69">
        <v>6500</v>
      </c>
      <c r="H10" s="90">
        <v>7000</v>
      </c>
      <c r="I10" s="1"/>
      <c r="J10" s="1"/>
      <c r="K10" s="1"/>
    </row>
    <row r="11" spans="1:11" ht="15.5">
      <c r="A11" s="1" t="s">
        <v>265</v>
      </c>
      <c r="B11" s="81"/>
      <c r="C11" s="1"/>
      <c r="D11" s="69">
        <v>3000</v>
      </c>
      <c r="E11" s="69">
        <v>3200</v>
      </c>
      <c r="F11" s="69">
        <v>3400</v>
      </c>
      <c r="G11" s="69">
        <v>3600</v>
      </c>
      <c r="H11" s="90">
        <v>3800</v>
      </c>
      <c r="I11" s="1"/>
      <c r="J11" s="1"/>
      <c r="K11" s="1"/>
    </row>
    <row r="12" spans="1:11" ht="15.5">
      <c r="A12" s="1" t="s">
        <v>266</v>
      </c>
      <c r="B12" s="81"/>
      <c r="C12" s="1"/>
      <c r="D12" s="90">
        <v>15000</v>
      </c>
      <c r="E12" s="90">
        <v>18000</v>
      </c>
      <c r="F12" s="90">
        <v>19000</v>
      </c>
      <c r="G12" s="90">
        <v>20000</v>
      </c>
      <c r="H12" s="90">
        <v>22000</v>
      </c>
      <c r="I12" s="1"/>
      <c r="J12" s="1"/>
      <c r="K12" s="1"/>
    </row>
    <row r="13" spans="1:11" ht="15.5">
      <c r="A13" s="1" t="s">
        <v>267</v>
      </c>
      <c r="B13" s="81"/>
      <c r="C13" s="1"/>
      <c r="D13" s="90">
        <v>150000</v>
      </c>
      <c r="E13" s="90">
        <v>105000</v>
      </c>
      <c r="F13" s="90">
        <v>75000</v>
      </c>
      <c r="G13" s="90">
        <v>50000</v>
      </c>
      <c r="H13" s="90">
        <v>35000</v>
      </c>
      <c r="I13" s="1"/>
      <c r="J13" s="1"/>
      <c r="K13" s="1"/>
    </row>
    <row r="14" spans="1:11" ht="15.5">
      <c r="A14" s="1"/>
      <c r="B14" s="81"/>
      <c r="C14" s="1"/>
      <c r="D14" s="1"/>
      <c r="E14" s="1"/>
      <c r="F14" s="1"/>
      <c r="G14" s="1"/>
      <c r="H14" s="1"/>
      <c r="I14" s="1"/>
      <c r="J14" s="1"/>
      <c r="K14" s="1"/>
    </row>
    <row r="15" spans="1:11" ht="15.5">
      <c r="A15" s="8" t="s">
        <v>67</v>
      </c>
      <c r="B15" s="81"/>
      <c r="C15" s="1"/>
      <c r="D15" s="1"/>
      <c r="E15" s="1"/>
      <c r="F15" s="1"/>
      <c r="G15" s="1"/>
      <c r="H15" s="1"/>
      <c r="I15" s="1"/>
      <c r="J15" s="1"/>
      <c r="K15" s="1"/>
    </row>
    <row r="16" spans="1:11" ht="15.5">
      <c r="A16" s="77" t="s">
        <v>268</v>
      </c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ht="15.5">
      <c r="A17" s="77"/>
      <c r="B17" s="1" t="s">
        <v>269</v>
      </c>
      <c r="C17" s="1"/>
      <c r="D17" s="1"/>
      <c r="E17" s="1"/>
      <c r="F17" s="1"/>
      <c r="G17" s="1"/>
      <c r="H17" s="1"/>
      <c r="I17" s="1"/>
      <c r="J17" s="1"/>
      <c r="K17" s="1"/>
    </row>
    <row r="18" spans="1:11" ht="15.5">
      <c r="A18" s="77" t="s">
        <v>270</v>
      </c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ht="15.5">
      <c r="A19" s="1" t="s">
        <v>271</v>
      </c>
      <c r="B19" s="2"/>
      <c r="C19" s="2"/>
      <c r="D19" s="2"/>
      <c r="E19" s="1"/>
      <c r="F19" s="1"/>
      <c r="G19" s="1"/>
      <c r="H19" s="1"/>
      <c r="I19" s="1"/>
      <c r="J19" s="1"/>
      <c r="K19" s="1"/>
    </row>
    <row r="20" spans="1:11" ht="15.5">
      <c r="A20" s="2"/>
      <c r="B20" s="1" t="s">
        <v>272</v>
      </c>
      <c r="C20" s="2"/>
      <c r="D20" s="2"/>
      <c r="E20" s="1"/>
      <c r="F20" s="1"/>
      <c r="G20" s="1"/>
      <c r="H20" s="1"/>
      <c r="I20" s="1"/>
      <c r="J20" s="1"/>
      <c r="K20" s="1"/>
    </row>
    <row r="21" spans="1:11" ht="15.5">
      <c r="A21" s="2"/>
      <c r="B21" s="1"/>
      <c r="C21" s="1"/>
      <c r="D21" s="1"/>
      <c r="E21" s="1"/>
      <c r="F21" s="1"/>
      <c r="G21" s="1"/>
      <c r="H21" s="1"/>
      <c r="I21" s="1"/>
      <c r="J21" s="217"/>
      <c r="K21" s="217"/>
    </row>
    <row r="22" spans="1:11" ht="15.5">
      <c r="A22" s="8" t="s">
        <v>56</v>
      </c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ht="15.5">
      <c r="A23" s="1" t="s">
        <v>273</v>
      </c>
      <c r="B23" s="1"/>
      <c r="C23" s="88"/>
      <c r="D23" s="88"/>
      <c r="E23" s="1"/>
      <c r="F23" s="1"/>
      <c r="G23" s="1"/>
      <c r="H23" s="1"/>
      <c r="I23" s="1"/>
      <c r="J23" s="13" t="s">
        <v>26</v>
      </c>
      <c r="K23" s="1"/>
    </row>
    <row r="24" spans="1:11" ht="15.5">
      <c r="A24" s="1" t="s">
        <v>274</v>
      </c>
      <c r="B24" s="1"/>
      <c r="C24" s="1"/>
      <c r="D24" s="1"/>
      <c r="E24" s="1"/>
      <c r="F24" s="1"/>
      <c r="G24" s="1"/>
      <c r="H24" s="1"/>
      <c r="I24" s="1"/>
      <c r="J24" s="13" t="s">
        <v>26</v>
      </c>
      <c r="K24" s="1"/>
    </row>
    <row r="25" spans="1:11" ht="15.5">
      <c r="A25" s="1" t="s">
        <v>275</v>
      </c>
      <c r="B25" s="1"/>
      <c r="C25" s="30"/>
      <c r="D25" s="30"/>
      <c r="E25" s="1"/>
      <c r="F25" s="1"/>
      <c r="G25" s="1"/>
      <c r="H25" s="1"/>
      <c r="I25" s="1"/>
      <c r="J25" s="13" t="s">
        <v>26</v>
      </c>
      <c r="K25" s="13"/>
    </row>
    <row r="26" spans="1:11" ht="15.5">
      <c r="A26" s="1" t="s">
        <v>276</v>
      </c>
      <c r="B26" s="1"/>
      <c r="C26" s="89"/>
      <c r="D26" s="89"/>
      <c r="E26" s="1"/>
      <c r="F26" s="1"/>
      <c r="G26" s="1"/>
      <c r="H26" s="1"/>
      <c r="I26" s="1"/>
      <c r="J26" s="13" t="s">
        <v>143</v>
      </c>
      <c r="K26" s="13"/>
    </row>
    <row r="27" spans="1:11" ht="15.5">
      <c r="A27" s="1" t="s">
        <v>277</v>
      </c>
      <c r="B27" s="1"/>
      <c r="C27" s="1"/>
      <c r="D27" s="1"/>
      <c r="E27" s="1"/>
      <c r="F27" s="1"/>
      <c r="G27" s="1"/>
      <c r="H27" s="1"/>
      <c r="I27" s="8"/>
      <c r="J27" s="13" t="s">
        <v>140</v>
      </c>
      <c r="K27" s="1"/>
    </row>
    <row r="28" spans="1:11" ht="15.5">
      <c r="A28" s="2"/>
      <c r="B28" s="2"/>
      <c r="C28" s="2"/>
      <c r="D28" s="2"/>
      <c r="E28" s="2"/>
      <c r="F28" s="2"/>
      <c r="G28" s="2"/>
      <c r="H28" s="2"/>
      <c r="I28" s="2"/>
      <c r="J28" s="68" t="s">
        <v>155</v>
      </c>
      <c r="K28" s="2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</sheetData>
  <mergeCells count="1">
    <mergeCell ref="J21:K2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4F296-1F81-4742-9C5B-4B2E6E094ED9}">
  <dimension ref="A1:S53"/>
  <sheetViews>
    <sheetView topLeftCell="A16" workbookViewId="0">
      <selection activeCell="A21" sqref="A21:XFD21"/>
    </sheetView>
  </sheetViews>
  <sheetFormatPr defaultRowHeight="15.5"/>
  <cols>
    <col min="1" max="1" width="4.54296875" style="2" customWidth="1"/>
    <col min="2" max="2" width="30.7265625" style="2" customWidth="1"/>
    <col min="3" max="3" width="12.453125" style="2" customWidth="1"/>
    <col min="4" max="4" width="11.81640625" style="2" customWidth="1"/>
    <col min="5" max="5" width="20.26953125" style="2" customWidth="1"/>
    <col min="6" max="6" width="10.7265625" style="2" customWidth="1"/>
    <col min="7" max="7" width="9.54296875" style="2" customWidth="1"/>
    <col min="8" max="8" width="7.1796875" style="2" customWidth="1"/>
    <col min="9" max="9" width="26.1796875" style="2" bestFit="1" customWidth="1"/>
    <col min="10" max="10" width="26.54296875" style="2" bestFit="1" customWidth="1"/>
    <col min="11" max="11" width="25.6328125" style="2" customWidth="1"/>
    <col min="12" max="12" width="29.08984375" style="2" bestFit="1" customWidth="1"/>
    <col min="13" max="13" width="24.90625" style="2" bestFit="1" customWidth="1"/>
    <col min="14" max="14" width="29.6328125" style="2" bestFit="1" customWidth="1"/>
    <col min="15" max="15" width="18.54296875" style="2" bestFit="1" customWidth="1"/>
    <col min="16" max="16" width="22.90625" style="2" bestFit="1" customWidth="1"/>
    <col min="17" max="17" width="8.7265625" style="2" customWidth="1"/>
    <col min="18" max="16384" width="8.7265625" style="2"/>
  </cols>
  <sheetData>
    <row r="1" spans="1:19" s="8" customFormat="1" ht="15">
      <c r="A1" s="76" t="s">
        <v>196</v>
      </c>
    </row>
    <row r="2" spans="1:19">
      <c r="A2" s="1" t="s">
        <v>279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>
      <c r="A3" s="1"/>
      <c r="B3" s="1"/>
      <c r="C3" s="1"/>
      <c r="D3" s="1"/>
      <c r="E3" s="1"/>
      <c r="F3" s="1"/>
    </row>
    <row r="4" spans="1:19">
      <c r="A4" s="1"/>
      <c r="B4" s="1"/>
      <c r="C4" s="125" t="s">
        <v>93</v>
      </c>
      <c r="D4" s="1"/>
      <c r="E4" s="125" t="s">
        <v>280</v>
      </c>
      <c r="F4" s="1"/>
    </row>
    <row r="5" spans="1:19">
      <c r="A5" s="1" t="s">
        <v>281</v>
      </c>
      <c r="B5" s="1"/>
      <c r="C5" s="1"/>
      <c r="D5" s="1"/>
      <c r="E5" s="126">
        <v>50000000</v>
      </c>
      <c r="F5" s="8"/>
    </row>
    <row r="6" spans="1:19">
      <c r="A6" s="114" t="s">
        <v>200</v>
      </c>
      <c r="B6" s="77"/>
      <c r="C6" s="112"/>
      <c r="D6" s="8"/>
      <c r="E6" s="126">
        <v>15000000</v>
      </c>
      <c r="F6" s="8"/>
    </row>
    <row r="7" spans="1:19">
      <c r="A7" s="1" t="s">
        <v>201</v>
      </c>
      <c r="B7" s="77"/>
      <c r="C7" s="126">
        <v>700</v>
      </c>
      <c r="F7" s="1"/>
      <c r="G7" s="1"/>
      <c r="H7" s="1"/>
    </row>
    <row r="8" spans="1:19">
      <c r="A8" s="1" t="s">
        <v>202</v>
      </c>
      <c r="B8" s="77"/>
      <c r="C8" s="126">
        <v>350</v>
      </c>
      <c r="F8" s="1"/>
      <c r="G8" s="1"/>
      <c r="H8" s="1"/>
    </row>
    <row r="9" spans="1:19">
      <c r="A9" s="1" t="s">
        <v>203</v>
      </c>
      <c r="B9" s="77"/>
      <c r="C9" s="1"/>
      <c r="D9" s="69"/>
      <c r="E9" s="126">
        <v>2500000</v>
      </c>
      <c r="F9" s="69"/>
      <c r="G9" s="69"/>
      <c r="H9" s="90"/>
    </row>
    <row r="10" spans="1:19">
      <c r="A10" s="1"/>
      <c r="B10" s="77"/>
      <c r="C10" s="1"/>
      <c r="D10" s="69"/>
      <c r="E10" s="126"/>
      <c r="F10" s="69"/>
      <c r="G10" s="69"/>
      <c r="H10" s="90"/>
    </row>
    <row r="11" spans="1:19">
      <c r="A11" s="8" t="s">
        <v>67</v>
      </c>
      <c r="B11" s="77"/>
      <c r="C11" s="78"/>
      <c r="D11" s="69"/>
      <c r="E11" s="69"/>
      <c r="F11" s="69"/>
      <c r="G11" s="69"/>
      <c r="H11" s="90"/>
    </row>
    <row r="12" spans="1:19">
      <c r="A12" s="114" t="s">
        <v>282</v>
      </c>
      <c r="B12" s="114"/>
      <c r="C12" s="114"/>
      <c r="D12" s="114"/>
      <c r="E12" s="114"/>
      <c r="F12" s="69"/>
      <c r="G12" s="69"/>
      <c r="H12" s="90"/>
    </row>
    <row r="13" spans="1:19">
      <c r="A13" s="114" t="s">
        <v>283</v>
      </c>
      <c r="B13" s="114"/>
      <c r="C13" s="114"/>
      <c r="D13" s="114"/>
      <c r="E13" s="114"/>
      <c r="F13" s="90"/>
      <c r="G13" s="90"/>
      <c r="H13" s="90"/>
    </row>
    <row r="14" spans="1:19">
      <c r="A14" s="114" t="s">
        <v>284</v>
      </c>
      <c r="B14" s="114"/>
      <c r="C14" s="127"/>
      <c r="D14" s="114"/>
      <c r="E14" s="114"/>
      <c r="F14" s="90"/>
      <c r="G14" s="90"/>
      <c r="H14" s="90"/>
    </row>
    <row r="15" spans="1:19">
      <c r="A15" s="114" t="s">
        <v>285</v>
      </c>
      <c r="B15" s="114"/>
      <c r="C15" s="114"/>
      <c r="D15" s="114"/>
      <c r="E15" s="114"/>
      <c r="F15" s="1"/>
      <c r="G15" s="1"/>
      <c r="H15" s="1"/>
    </row>
    <row r="16" spans="1:19">
      <c r="A16" s="114"/>
      <c r="B16" s="114" t="s">
        <v>286</v>
      </c>
      <c r="C16" s="114"/>
      <c r="D16" s="114"/>
      <c r="E16" s="114"/>
      <c r="F16" s="1"/>
      <c r="G16" s="1"/>
      <c r="H16" s="1"/>
    </row>
    <row r="17" spans="1:9">
      <c r="A17" s="114" t="s">
        <v>287</v>
      </c>
      <c r="B17" s="114"/>
      <c r="C17" s="114"/>
      <c r="D17" s="114"/>
      <c r="E17" s="114"/>
      <c r="F17" s="1"/>
      <c r="G17" s="1"/>
      <c r="H17" s="1"/>
    </row>
    <row r="18" spans="1:9">
      <c r="A18" s="77"/>
      <c r="B18" s="1"/>
      <c r="C18" s="1"/>
      <c r="D18" s="1"/>
      <c r="E18" s="1"/>
      <c r="F18" s="1"/>
      <c r="G18" s="1"/>
      <c r="H18" s="1"/>
      <c r="I18" s="129"/>
    </row>
    <row r="19" spans="1:9">
      <c r="A19" s="115" t="s">
        <v>56</v>
      </c>
      <c r="B19" s="1"/>
      <c r="C19" s="1"/>
      <c r="D19" s="1"/>
      <c r="E19" s="1"/>
      <c r="F19" s="1"/>
      <c r="G19" s="1"/>
      <c r="H19" s="129"/>
      <c r="I19" s="129"/>
    </row>
    <row r="20" spans="1:9">
      <c r="A20" s="114" t="s">
        <v>288</v>
      </c>
      <c r="B20" s="114"/>
      <c r="C20" s="114"/>
      <c r="E20" s="1"/>
      <c r="F20" s="1"/>
      <c r="G20" s="1"/>
      <c r="H20" s="129"/>
      <c r="I20" s="131" t="s">
        <v>26</v>
      </c>
    </row>
    <row r="21" spans="1:9">
      <c r="A21" s="114"/>
      <c r="B21" s="114"/>
      <c r="C21" s="114"/>
      <c r="D21" s="114"/>
      <c r="E21" s="1"/>
      <c r="F21" s="1"/>
      <c r="G21" s="1"/>
      <c r="H21" s="129"/>
      <c r="I21" s="129"/>
    </row>
    <row r="22" spans="1:9">
      <c r="A22" s="114" t="s">
        <v>289</v>
      </c>
      <c r="B22" s="114"/>
      <c r="C22" s="114"/>
      <c r="E22" s="1"/>
      <c r="F22" s="1"/>
      <c r="G22" s="1"/>
      <c r="H22" s="129"/>
      <c r="I22" s="131" t="s">
        <v>26</v>
      </c>
    </row>
    <row r="23" spans="1:9">
      <c r="A23" s="114"/>
      <c r="B23" s="114"/>
      <c r="C23" s="114"/>
      <c r="D23" s="114"/>
      <c r="E23" s="1"/>
      <c r="F23" s="1"/>
      <c r="G23" s="1"/>
      <c r="H23" s="129"/>
      <c r="I23" s="129"/>
    </row>
    <row r="24" spans="1:9">
      <c r="A24" s="114" t="s">
        <v>290</v>
      </c>
      <c r="B24" s="114"/>
      <c r="C24" s="114"/>
      <c r="E24" s="1"/>
      <c r="F24" s="1"/>
      <c r="G24" s="1"/>
      <c r="H24" s="129"/>
      <c r="I24" s="131" t="s">
        <v>26</v>
      </c>
    </row>
    <row r="25" spans="1:9">
      <c r="A25" s="114"/>
      <c r="B25" s="114"/>
      <c r="C25" s="114"/>
      <c r="D25" s="114"/>
      <c r="E25" s="1"/>
      <c r="F25" s="1"/>
      <c r="G25" s="1"/>
      <c r="H25" s="129"/>
      <c r="I25" s="129"/>
    </row>
    <row r="26" spans="1:9">
      <c r="A26" s="114" t="s">
        <v>291</v>
      </c>
      <c r="B26" s="114"/>
      <c r="C26" s="114"/>
      <c r="E26" s="1"/>
      <c r="F26" s="1"/>
      <c r="G26" s="1"/>
      <c r="H26" s="129"/>
      <c r="I26" s="131" t="s">
        <v>26</v>
      </c>
    </row>
    <row r="27" spans="1:9">
      <c r="A27" s="114"/>
      <c r="B27" s="114"/>
      <c r="C27" s="114"/>
      <c r="D27" s="114"/>
      <c r="E27" s="1"/>
      <c r="F27" s="1"/>
      <c r="G27" s="1"/>
      <c r="H27" s="129"/>
      <c r="I27" s="130"/>
    </row>
    <row r="28" spans="1:9">
      <c r="A28" s="1"/>
      <c r="B28" s="1"/>
      <c r="C28" s="89"/>
      <c r="D28" s="89"/>
      <c r="E28" s="1"/>
      <c r="F28" s="1"/>
      <c r="G28" s="1"/>
      <c r="H28" s="129"/>
      <c r="I28" s="130"/>
    </row>
    <row r="29" spans="1:9">
      <c r="A29" s="1"/>
      <c r="B29" s="1"/>
      <c r="C29" s="1"/>
      <c r="D29" s="1"/>
      <c r="E29" s="1"/>
      <c r="F29" s="1"/>
      <c r="G29" s="1"/>
      <c r="H29" s="130"/>
      <c r="I29" s="132" t="s">
        <v>155</v>
      </c>
    </row>
    <row r="30" spans="1:9">
      <c r="A30" s="1"/>
      <c r="B30" s="1"/>
      <c r="C30" s="1"/>
      <c r="D30" s="1"/>
      <c r="E30" s="1"/>
      <c r="F30" s="1"/>
      <c r="G30" s="1"/>
      <c r="H30" s="129"/>
      <c r="I30" s="129"/>
    </row>
    <row r="31" spans="1:9">
      <c r="H31" s="130"/>
      <c r="I31" s="130"/>
    </row>
    <row r="32" spans="1:9">
      <c r="H32" s="130"/>
      <c r="I32" s="129"/>
    </row>
    <row r="33" spans="8:15">
      <c r="H33" s="130"/>
      <c r="I33" s="130"/>
    </row>
    <row r="34" spans="8:15">
      <c r="H34" s="130"/>
      <c r="I34" s="130"/>
    </row>
    <row r="35" spans="8:15">
      <c r="H35" s="130"/>
      <c r="I35" s="130"/>
      <c r="O35" s="128"/>
    </row>
    <row r="36" spans="8:15">
      <c r="H36" s="130"/>
      <c r="I36" s="130"/>
    </row>
    <row r="37" spans="8:15">
      <c r="H37" s="130"/>
      <c r="I37" s="130"/>
    </row>
    <row r="38" spans="8:15">
      <c r="H38" s="130"/>
      <c r="I38" s="130"/>
    </row>
    <row r="39" spans="8:15">
      <c r="H39" s="130"/>
      <c r="I39" s="130"/>
    </row>
    <row r="40" spans="8:15">
      <c r="H40" s="130"/>
      <c r="I40" s="130"/>
    </row>
    <row r="41" spans="8:15">
      <c r="H41" s="130"/>
      <c r="I41" s="130"/>
    </row>
    <row r="42" spans="8:15">
      <c r="H42" s="130"/>
      <c r="I42" s="130"/>
    </row>
    <row r="43" spans="8:15">
      <c r="H43" s="130"/>
      <c r="I43" s="130"/>
    </row>
    <row r="44" spans="8:15">
      <c r="H44" s="130"/>
      <c r="I44" s="130"/>
    </row>
    <row r="45" spans="8:15">
      <c r="H45" s="130"/>
      <c r="I45" s="130"/>
    </row>
    <row r="46" spans="8:15">
      <c r="H46" s="130"/>
      <c r="I46" s="130"/>
    </row>
    <row r="47" spans="8:15">
      <c r="H47" s="130"/>
      <c r="I47" s="130"/>
    </row>
    <row r="48" spans="8:15">
      <c r="H48" s="130"/>
      <c r="I48" s="130"/>
    </row>
    <row r="49" spans="8:9">
      <c r="H49" s="130"/>
      <c r="I49" s="130"/>
    </row>
    <row r="50" spans="8:9">
      <c r="H50" s="130"/>
      <c r="I50" s="130"/>
    </row>
    <row r="51" spans="8:9">
      <c r="H51" s="130"/>
      <c r="I51" s="130"/>
    </row>
    <row r="52" spans="8:9">
      <c r="H52" s="130"/>
      <c r="I52" s="130"/>
    </row>
    <row r="53" spans="8:9">
      <c r="H53" s="130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0EF52-6034-41EB-A662-C3D0248B2E36}">
  <dimension ref="A1:M50"/>
  <sheetViews>
    <sheetView topLeftCell="A32" workbookViewId="0">
      <selection activeCell="F9" sqref="F9"/>
    </sheetView>
  </sheetViews>
  <sheetFormatPr defaultRowHeight="14.5"/>
  <sheetData>
    <row r="1" spans="1:13" ht="20">
      <c r="A1" s="111" t="s">
        <v>292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</row>
    <row r="2" spans="1:13" ht="20.5">
      <c r="A2" s="95"/>
      <c r="B2" s="95"/>
      <c r="C2" s="95"/>
      <c r="D2" s="95"/>
      <c r="E2" s="96"/>
      <c r="F2" s="95"/>
      <c r="G2" s="95"/>
      <c r="H2" s="95"/>
      <c r="I2" s="95"/>
      <c r="J2" s="97"/>
      <c r="K2" s="97"/>
      <c r="L2" s="97"/>
      <c r="M2" s="97"/>
    </row>
    <row r="3" spans="1:13" ht="20.5">
      <c r="A3" s="96" t="s">
        <v>293</v>
      </c>
      <c r="B3" s="98"/>
      <c r="C3" s="98"/>
      <c r="D3" s="96"/>
      <c r="E3" s="98"/>
      <c r="F3" s="98"/>
      <c r="G3" s="98"/>
      <c r="H3" s="98"/>
      <c r="I3" s="98"/>
      <c r="J3" s="97"/>
      <c r="K3" s="97"/>
      <c r="L3" s="97"/>
      <c r="M3" s="97"/>
    </row>
    <row r="4" spans="1:13" ht="20.5">
      <c r="A4" s="96"/>
      <c r="B4" s="98"/>
      <c r="C4" s="98"/>
      <c r="D4" s="96"/>
      <c r="E4" s="98"/>
      <c r="F4" s="98"/>
      <c r="G4" s="98"/>
      <c r="H4" s="98"/>
      <c r="I4" s="98"/>
      <c r="J4" s="97"/>
      <c r="K4" s="97"/>
      <c r="L4" s="97"/>
      <c r="M4" s="97"/>
    </row>
    <row r="5" spans="1:13" ht="20.5">
      <c r="A5" s="96" t="s">
        <v>294</v>
      </c>
      <c r="B5" s="98"/>
      <c r="C5" s="98"/>
      <c r="D5" s="96"/>
      <c r="E5" s="98"/>
      <c r="F5" s="98"/>
      <c r="G5" s="98"/>
      <c r="H5" s="98"/>
      <c r="I5" s="98"/>
      <c r="J5" s="97"/>
      <c r="K5" s="97"/>
      <c r="L5" s="97"/>
      <c r="M5" s="97"/>
    </row>
    <row r="6" spans="1:13" ht="20.5">
      <c r="A6" s="99"/>
      <c r="B6" s="97"/>
      <c r="C6" s="97"/>
      <c r="D6" s="99"/>
      <c r="E6" s="97"/>
      <c r="F6" s="97"/>
      <c r="G6" s="97"/>
      <c r="H6" s="97"/>
      <c r="I6" s="97"/>
      <c r="J6" s="97"/>
      <c r="K6" s="97"/>
      <c r="L6" s="97"/>
      <c r="M6" s="97"/>
    </row>
    <row r="7" spans="1:13" ht="15.5">
      <c r="A7" s="100" t="s">
        <v>295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</row>
    <row r="8" spans="1:13" ht="15.5">
      <c r="A8" s="100" t="s">
        <v>296</v>
      </c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</row>
    <row r="9" spans="1:13" ht="15.5">
      <c r="A9" s="10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</row>
    <row r="10" spans="1:13" ht="15.5">
      <c r="A10" s="26" t="s">
        <v>297</v>
      </c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  <c r="M10" s="101"/>
    </row>
    <row r="11" spans="1:13" ht="15.5">
      <c r="A11" s="100" t="s">
        <v>57</v>
      </c>
      <c r="B11" s="101" t="s">
        <v>298</v>
      </c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</row>
    <row r="12" spans="1:13" ht="15.5">
      <c r="A12" s="100" t="s">
        <v>60</v>
      </c>
      <c r="B12" s="101" t="s">
        <v>299</v>
      </c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</row>
    <row r="13" spans="1:13" ht="15.5">
      <c r="A13" s="100" t="s">
        <v>300</v>
      </c>
      <c r="B13" s="101" t="s">
        <v>301</v>
      </c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</row>
    <row r="14" spans="1:13" ht="15.5">
      <c r="A14" s="100" t="s">
        <v>302</v>
      </c>
      <c r="B14" s="101" t="s">
        <v>303</v>
      </c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</row>
    <row r="15" spans="1:13" ht="15.5">
      <c r="A15" s="100" t="s">
        <v>304</v>
      </c>
      <c r="B15" s="101" t="s">
        <v>305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</row>
    <row r="16" spans="1:13" ht="15.5">
      <c r="A16" s="100"/>
      <c r="B16" s="102" t="s">
        <v>306</v>
      </c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</row>
    <row r="17" spans="1:13" ht="15.5">
      <c r="A17" s="100"/>
      <c r="B17" s="102" t="s">
        <v>307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</row>
    <row r="18" spans="1:13" ht="15.5">
      <c r="A18" s="100"/>
      <c r="B18" s="102" t="s">
        <v>308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</row>
    <row r="19" spans="1:13" ht="15.5">
      <c r="A19" s="100" t="s">
        <v>309</v>
      </c>
      <c r="B19" s="103" t="s">
        <v>310</v>
      </c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</row>
    <row r="20" spans="1:13" ht="15.5">
      <c r="A20" s="100" t="s">
        <v>311</v>
      </c>
      <c r="B20" s="103" t="s">
        <v>312</v>
      </c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</row>
    <row r="21" spans="1:13" ht="15.5">
      <c r="A21" s="104"/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</row>
    <row r="22" spans="1:13" ht="15.5">
      <c r="A22" s="26" t="s">
        <v>313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</row>
    <row r="23" spans="1:13" ht="15.5">
      <c r="A23" s="105" t="s">
        <v>314</v>
      </c>
      <c r="B23" s="101" t="s">
        <v>315</v>
      </c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</row>
    <row r="24" spans="1:13" ht="15.5">
      <c r="A24" s="105" t="s">
        <v>316</v>
      </c>
      <c r="B24" s="101" t="s">
        <v>317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</row>
    <row r="25" spans="1:13" ht="15.5">
      <c r="A25" s="105" t="s">
        <v>318</v>
      </c>
      <c r="B25" s="101" t="s">
        <v>319</v>
      </c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</row>
    <row r="26" spans="1:13" ht="15.5">
      <c r="A26" s="105" t="s">
        <v>320</v>
      </c>
      <c r="B26" s="101" t="s">
        <v>321</v>
      </c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</row>
    <row r="27" spans="1:13" ht="15.5">
      <c r="A27" s="105" t="s">
        <v>322</v>
      </c>
      <c r="B27" s="101" t="s">
        <v>323</v>
      </c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</row>
    <row r="28" spans="1:13" ht="15.5">
      <c r="A28" s="105" t="s">
        <v>324</v>
      </c>
      <c r="B28" s="101" t="s">
        <v>325</v>
      </c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</row>
    <row r="29" spans="1:13" ht="15.5">
      <c r="A29" s="105"/>
      <c r="B29" s="102" t="s">
        <v>326</v>
      </c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</row>
    <row r="30" spans="1:13" ht="15.5">
      <c r="A30" s="105"/>
      <c r="B30" s="102" t="s">
        <v>327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</row>
    <row r="31" spans="1:13" ht="15.5">
      <c r="A31" s="105" t="s">
        <v>328</v>
      </c>
      <c r="B31" s="101" t="s">
        <v>329</v>
      </c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</row>
    <row r="32" spans="1:13" ht="15.5">
      <c r="A32" s="106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</row>
    <row r="33" spans="1:13" ht="15.5">
      <c r="A33" s="26" t="s">
        <v>330</v>
      </c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</row>
    <row r="34" spans="1:13" ht="15.5">
      <c r="A34" s="107" t="s">
        <v>331</v>
      </c>
      <c r="B34" s="101" t="s">
        <v>332</v>
      </c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</row>
    <row r="35" spans="1:13" ht="15.5">
      <c r="A35" s="107" t="s">
        <v>331</v>
      </c>
      <c r="B35" s="101" t="s">
        <v>333</v>
      </c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</row>
    <row r="36" spans="1:13" ht="15.5">
      <c r="A36" s="107" t="s">
        <v>331</v>
      </c>
      <c r="B36" s="101" t="s">
        <v>334</v>
      </c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</row>
    <row r="37" spans="1:13" ht="15.5">
      <c r="A37" s="101"/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</row>
    <row r="38" spans="1:13" ht="15.5">
      <c r="A38" s="26" t="s">
        <v>56</v>
      </c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</row>
    <row r="39" spans="1:13" ht="15.5">
      <c r="A39" s="100" t="s">
        <v>28</v>
      </c>
      <c r="B39" s="101" t="s">
        <v>335</v>
      </c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</row>
    <row r="40" spans="1:13" ht="15.5">
      <c r="A40" s="26"/>
      <c r="B40" s="101" t="s">
        <v>336</v>
      </c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9" t="s">
        <v>337</v>
      </c>
    </row>
    <row r="41" spans="1:13" ht="15.5">
      <c r="A41" s="26"/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9"/>
    </row>
    <row r="42" spans="1:13" ht="15.5">
      <c r="A42" s="100" t="s">
        <v>338</v>
      </c>
      <c r="B42" s="101" t="s">
        <v>339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9" t="s">
        <v>337</v>
      </c>
    </row>
    <row r="43" spans="1:13" ht="15.5">
      <c r="A43" s="100"/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9"/>
    </row>
    <row r="44" spans="1:13" ht="15.5">
      <c r="A44" s="100" t="s">
        <v>340</v>
      </c>
      <c r="B44" s="101" t="s">
        <v>341</v>
      </c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9"/>
    </row>
    <row r="45" spans="1:13" ht="15.5">
      <c r="A45" s="100"/>
      <c r="B45" s="101" t="s">
        <v>342</v>
      </c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9" t="s">
        <v>337</v>
      </c>
    </row>
    <row r="46" spans="1:13" ht="15.5">
      <c r="A46" s="100"/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10"/>
      <c r="M46" s="110" t="s">
        <v>226</v>
      </c>
    </row>
    <row r="47" spans="1:13" ht="15.5">
      <c r="A47" s="101"/>
      <c r="B47" s="101"/>
      <c r="C47" s="101"/>
      <c r="D47" s="101"/>
      <c r="E47" s="101"/>
      <c r="F47" s="101"/>
      <c r="G47" s="101"/>
      <c r="H47" s="101"/>
      <c r="I47" s="101"/>
      <c r="J47" s="95"/>
      <c r="K47" s="101"/>
      <c r="L47" s="108"/>
      <c r="M47" s="109"/>
    </row>
    <row r="48" spans="1:13" ht="20.5">
      <c r="A48" s="97"/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</row>
    <row r="49" spans="1:13" ht="20.5">
      <c r="A49" s="97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</row>
    <row r="50" spans="1:13" ht="20.5">
      <c r="A50" s="97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B43E6-FE63-4F52-B47F-E6804329F93D}">
  <dimension ref="A1:O79"/>
  <sheetViews>
    <sheetView topLeftCell="A23" workbookViewId="0">
      <selection activeCell="A10" sqref="A10:E24"/>
    </sheetView>
  </sheetViews>
  <sheetFormatPr defaultRowHeight="15.5"/>
  <cols>
    <col min="1" max="1" width="28.1796875" style="2" customWidth="1"/>
    <col min="2" max="2" width="30.7265625" style="2" customWidth="1"/>
    <col min="3" max="3" width="12.453125" style="2" customWidth="1"/>
    <col min="4" max="4" width="11.81640625" style="2" customWidth="1"/>
    <col min="5" max="5" width="20.26953125" style="2" customWidth="1"/>
    <col min="6" max="6" width="10.7265625" style="2" customWidth="1"/>
    <col min="7" max="7" width="18.54296875" style="2" customWidth="1"/>
    <col min="8" max="8" width="22.54296875" style="2" customWidth="1"/>
    <col min="9" max="9" width="13.81640625" style="2" customWidth="1"/>
    <col min="10" max="10" width="8.7265625" style="2"/>
    <col min="11" max="11" width="11.90625" style="2" bestFit="1" customWidth="1"/>
    <col min="12" max="12" width="11.54296875" style="2" customWidth="1"/>
    <col min="13" max="13" width="12.90625" style="2" bestFit="1" customWidth="1"/>
    <col min="14" max="14" width="14.36328125" style="2" bestFit="1" customWidth="1"/>
    <col min="15" max="15" width="11.90625" style="2" bestFit="1" customWidth="1"/>
    <col min="16" max="16384" width="8.7265625" style="2"/>
  </cols>
  <sheetData>
    <row r="1" spans="1:15">
      <c r="A1" s="76" t="s">
        <v>196</v>
      </c>
      <c r="B1" s="1"/>
      <c r="C1" s="1"/>
      <c r="D1" s="1"/>
      <c r="F1" s="1"/>
      <c r="G1" s="1"/>
      <c r="H1" s="1"/>
    </row>
    <row r="2" spans="1:15">
      <c r="A2" s="113" t="s">
        <v>343</v>
      </c>
      <c r="B2" s="114"/>
      <c r="C2" s="114"/>
      <c r="D2" s="114"/>
      <c r="E2" s="114"/>
      <c r="F2" s="114"/>
      <c r="G2" s="114"/>
      <c r="H2" s="114" t="s">
        <v>511</v>
      </c>
      <c r="I2" s="128">
        <v>12500000</v>
      </c>
      <c r="N2" s="178" t="s">
        <v>513</v>
      </c>
      <c r="O2" s="178" t="s">
        <v>516</v>
      </c>
    </row>
    <row r="3" spans="1:15">
      <c r="A3" s="114" t="s">
        <v>344</v>
      </c>
      <c r="B3" s="114"/>
      <c r="C3" s="114"/>
      <c r="D3" s="114"/>
      <c r="E3" s="114"/>
      <c r="F3" s="114"/>
      <c r="G3" s="114"/>
      <c r="H3" s="114" t="s">
        <v>521</v>
      </c>
      <c r="I3" s="180">
        <v>0.1</v>
      </c>
      <c r="N3" s="2" t="s">
        <v>515</v>
      </c>
      <c r="O3" s="2">
        <v>1</v>
      </c>
    </row>
    <row r="4" spans="1:15">
      <c r="A4" s="114"/>
      <c r="B4" s="114"/>
      <c r="C4" s="114"/>
      <c r="D4" s="114"/>
      <c r="E4" s="114"/>
      <c r="F4" s="114"/>
      <c r="G4" s="114"/>
      <c r="H4" s="114" t="s">
        <v>522</v>
      </c>
      <c r="I4" s="2">
        <v>5</v>
      </c>
      <c r="N4" s="2" t="s">
        <v>517</v>
      </c>
      <c r="O4" s="2">
        <v>2</v>
      </c>
    </row>
    <row r="5" spans="1:15">
      <c r="A5" s="114" t="s">
        <v>345</v>
      </c>
      <c r="B5" s="114"/>
      <c r="C5" s="114"/>
      <c r="D5" s="114"/>
      <c r="E5" s="114"/>
      <c r="F5" s="114"/>
      <c r="G5" s="114"/>
      <c r="H5" s="114" t="s">
        <v>513</v>
      </c>
      <c r="I5" s="2" t="s">
        <v>544</v>
      </c>
      <c r="N5" s="2" t="s">
        <v>518</v>
      </c>
      <c r="O5" s="2">
        <v>4</v>
      </c>
    </row>
    <row r="6" spans="1:15">
      <c r="A6" s="114"/>
      <c r="B6" s="114"/>
      <c r="C6" s="114"/>
      <c r="D6" s="114"/>
      <c r="E6" s="114"/>
      <c r="F6" s="114"/>
      <c r="G6" s="114"/>
      <c r="H6" s="114" t="s">
        <v>512</v>
      </c>
      <c r="I6" s="2" t="s">
        <v>514</v>
      </c>
      <c r="N6" s="2" t="s">
        <v>103</v>
      </c>
      <c r="O6" s="2">
        <v>12</v>
      </c>
    </row>
    <row r="7" spans="1:15">
      <c r="A7" s="117" t="s">
        <v>212</v>
      </c>
      <c r="B7" s="114" t="s">
        <v>217</v>
      </c>
      <c r="C7" s="114"/>
      <c r="D7" s="114"/>
      <c r="E7" s="114"/>
      <c r="F7" s="114"/>
      <c r="G7" s="114"/>
      <c r="H7" s="114"/>
      <c r="N7" s="2" t="s">
        <v>519</v>
      </c>
      <c r="O7" s="2">
        <v>52</v>
      </c>
    </row>
    <row r="8" spans="1:15">
      <c r="A8" s="117" t="s">
        <v>346</v>
      </c>
      <c r="B8" s="114" t="s">
        <v>347</v>
      </c>
      <c r="C8" s="114"/>
      <c r="D8" s="114"/>
      <c r="E8" s="114"/>
      <c r="F8" s="114"/>
      <c r="G8" s="114"/>
      <c r="H8" s="114"/>
      <c r="N8" s="2" t="s">
        <v>520</v>
      </c>
      <c r="O8" s="2">
        <v>365</v>
      </c>
    </row>
    <row r="9" spans="1:15">
      <c r="A9" s="117" t="s">
        <v>348</v>
      </c>
      <c r="B9" s="118">
        <v>0.09</v>
      </c>
      <c r="C9" s="114"/>
      <c r="D9" s="114"/>
      <c r="E9" s="114"/>
      <c r="F9" s="114"/>
      <c r="G9" s="114"/>
      <c r="H9" s="114" t="s">
        <v>523</v>
      </c>
      <c r="I9" s="2">
        <f>I3/O6</f>
        <v>8.3333333333333332E-3</v>
      </c>
    </row>
    <row r="10" spans="1:15">
      <c r="A10" s="114"/>
      <c r="B10" s="114"/>
      <c r="C10" s="114"/>
      <c r="D10" s="114"/>
      <c r="E10" s="114"/>
      <c r="F10" s="114"/>
      <c r="G10" s="114"/>
      <c r="H10" s="114" t="s">
        <v>524</v>
      </c>
      <c r="I10" s="2">
        <f>I4*O6</f>
        <v>60</v>
      </c>
    </row>
    <row r="11" spans="1:15">
      <c r="A11" s="113" t="s">
        <v>349</v>
      </c>
      <c r="B11" s="114"/>
      <c r="C11" s="114"/>
      <c r="D11" s="114"/>
      <c r="E11" s="114"/>
      <c r="F11" s="114"/>
      <c r="G11" s="114"/>
      <c r="H11" s="114"/>
      <c r="L11" s="2" t="s">
        <v>542</v>
      </c>
    </row>
    <row r="12" spans="1:15">
      <c r="A12" s="119" t="s">
        <v>259</v>
      </c>
      <c r="B12" s="115" t="s">
        <v>350</v>
      </c>
      <c r="C12" s="114"/>
      <c r="D12" s="114"/>
      <c r="E12" s="114"/>
      <c r="F12" s="114"/>
      <c r="G12" s="114"/>
      <c r="H12" s="114" t="s">
        <v>540</v>
      </c>
      <c r="I12" s="128">
        <f>-PMT(I9,I10,I2,0,0)</f>
        <v>265588.05889085343</v>
      </c>
      <c r="L12" s="2" t="s">
        <v>543</v>
      </c>
    </row>
    <row r="13" spans="1:15">
      <c r="A13" s="120">
        <v>1</v>
      </c>
      <c r="B13" s="121">
        <v>12000</v>
      </c>
      <c r="C13" s="114"/>
      <c r="D13" s="114"/>
      <c r="E13" s="114"/>
      <c r="F13" s="114"/>
      <c r="G13" s="114"/>
      <c r="H13" s="114" t="s">
        <v>525</v>
      </c>
    </row>
    <row r="14" spans="1:15">
      <c r="A14" s="120">
        <v>2</v>
      </c>
      <c r="B14" s="121">
        <v>15000</v>
      </c>
      <c r="C14" s="114"/>
      <c r="D14" s="114"/>
      <c r="E14" s="114"/>
      <c r="F14" s="114"/>
      <c r="G14" s="114"/>
      <c r="H14" s="114" t="s">
        <v>526</v>
      </c>
    </row>
    <row r="15" spans="1:15">
      <c r="A15" s="120">
        <v>3</v>
      </c>
      <c r="B15" s="121">
        <v>18000</v>
      </c>
      <c r="C15" s="114"/>
      <c r="D15" s="114"/>
      <c r="E15" s="114"/>
      <c r="F15" s="114"/>
      <c r="G15" s="114"/>
      <c r="H15" s="114"/>
      <c r="J15" s="2" t="s">
        <v>541</v>
      </c>
      <c r="K15" s="2" t="s">
        <v>450</v>
      </c>
      <c r="L15" s="2" t="s">
        <v>545</v>
      </c>
      <c r="M15" s="2" t="s">
        <v>546</v>
      </c>
      <c r="N15" s="2" t="s">
        <v>547</v>
      </c>
      <c r="O15" s="2" t="s">
        <v>535</v>
      </c>
    </row>
    <row r="16" spans="1:15">
      <c r="A16" s="120">
        <v>4</v>
      </c>
      <c r="B16" s="121">
        <v>20000</v>
      </c>
      <c r="C16" s="114"/>
      <c r="D16" s="114"/>
      <c r="E16" s="114"/>
      <c r="F16" s="114"/>
      <c r="G16" s="114"/>
      <c r="H16" s="114"/>
      <c r="J16" s="2">
        <v>0</v>
      </c>
      <c r="K16" s="187"/>
      <c r="L16" s="187"/>
      <c r="M16" s="187"/>
      <c r="N16" s="187"/>
      <c r="O16" s="187">
        <f>$I$2</f>
        <v>12500000</v>
      </c>
    </row>
    <row r="17" spans="1:15">
      <c r="A17" s="120">
        <v>5</v>
      </c>
      <c r="B17" s="121">
        <v>25000</v>
      </c>
      <c r="C17" s="114"/>
      <c r="D17" s="114"/>
      <c r="E17" s="114"/>
      <c r="F17" s="114"/>
      <c r="G17" s="114"/>
      <c r="H17" s="114"/>
      <c r="J17" s="2">
        <v>1</v>
      </c>
      <c r="K17" s="187">
        <f>O16</f>
        <v>12500000</v>
      </c>
      <c r="L17" s="187">
        <f t="shared" ref="L17:L76" si="0">$I$12</f>
        <v>265588.05889085343</v>
      </c>
      <c r="M17" s="187">
        <f>-IPMT($I$9,J17,$I$10,$I$2,0,0)</f>
        <v>104166.66666666667</v>
      </c>
      <c r="N17" s="187">
        <f>-PPMT($I$9,J17,$I$10,$I$2,0,0)</f>
        <v>161421.39222418677</v>
      </c>
      <c r="O17" s="187">
        <f t="shared" ref="O17:O74" si="1">K17-N17</f>
        <v>12338578.607775813</v>
      </c>
    </row>
    <row r="18" spans="1:15">
      <c r="A18" s="114"/>
      <c r="B18" s="114"/>
      <c r="C18" s="114"/>
      <c r="D18" s="114"/>
      <c r="E18" s="114"/>
      <c r="F18" s="114"/>
      <c r="G18" s="114"/>
      <c r="H18" s="114"/>
      <c r="J18" s="2">
        <v>2</v>
      </c>
      <c r="K18" s="187">
        <f>O17</f>
        <v>12338578.607775813</v>
      </c>
      <c r="L18" s="187">
        <f t="shared" si="0"/>
        <v>265588.05889085343</v>
      </c>
      <c r="M18" s="187">
        <f t="shared" ref="M18:M76" si="2">-IPMT($I$9,J18,$I$10,$I$2,0,0)</f>
        <v>102821.48839813177</v>
      </c>
      <c r="N18" s="187">
        <f t="shared" ref="N18:N76" si="3">-PPMT($I$9,J18,$I$10,$I$2,0,0)</f>
        <v>162766.57049272166</v>
      </c>
      <c r="O18" s="187">
        <f t="shared" si="1"/>
        <v>12175812.037283091</v>
      </c>
    </row>
    <row r="19" spans="1:15">
      <c r="A19" s="117" t="s">
        <v>351</v>
      </c>
      <c r="B19" s="114"/>
      <c r="C19" s="114"/>
      <c r="D19" s="114"/>
      <c r="E19" s="114"/>
      <c r="F19" s="114"/>
      <c r="G19" s="114"/>
      <c r="H19" s="114"/>
      <c r="J19" s="2">
        <v>3</v>
      </c>
      <c r="K19" s="187">
        <f t="shared" ref="K19:K74" si="4">O18</f>
        <v>12175812.037283091</v>
      </c>
      <c r="L19" s="187">
        <f t="shared" si="0"/>
        <v>265588.05889085343</v>
      </c>
      <c r="M19" s="187">
        <f t="shared" si="2"/>
        <v>101465.10031069243</v>
      </c>
      <c r="N19" s="187">
        <f t="shared" si="3"/>
        <v>164122.95858016101</v>
      </c>
      <c r="O19" s="187">
        <f t="shared" si="1"/>
        <v>12011689.07870293</v>
      </c>
    </row>
    <row r="20" spans="1:15">
      <c r="A20" s="113" t="s">
        <v>352</v>
      </c>
      <c r="B20" s="114"/>
      <c r="C20" s="114"/>
      <c r="D20" s="114"/>
      <c r="E20" s="114"/>
      <c r="F20" s="114"/>
      <c r="G20" s="114"/>
      <c r="H20" s="114"/>
      <c r="J20" s="2">
        <v>4</v>
      </c>
      <c r="K20" s="187">
        <f t="shared" si="4"/>
        <v>12011689.07870293</v>
      </c>
      <c r="L20" s="187">
        <f t="shared" si="0"/>
        <v>265588.05889085343</v>
      </c>
      <c r="M20" s="187">
        <f t="shared" si="2"/>
        <v>100097.40898919108</v>
      </c>
      <c r="N20" s="187">
        <f t="shared" si="3"/>
        <v>165490.64990166234</v>
      </c>
      <c r="O20" s="187">
        <f t="shared" si="1"/>
        <v>11846198.428801268</v>
      </c>
    </row>
    <row r="21" spans="1:15">
      <c r="A21" s="114" t="s">
        <v>353</v>
      </c>
      <c r="B21" s="114"/>
      <c r="C21" s="114"/>
      <c r="D21" s="114"/>
      <c r="E21" s="114"/>
      <c r="F21" s="114"/>
      <c r="G21" s="114"/>
      <c r="H21" s="114"/>
      <c r="J21" s="2">
        <v>5</v>
      </c>
      <c r="K21" s="187">
        <f t="shared" si="4"/>
        <v>11846198.428801268</v>
      </c>
      <c r="L21" s="187">
        <f t="shared" si="0"/>
        <v>265588.05889085343</v>
      </c>
      <c r="M21" s="187">
        <f t="shared" si="2"/>
        <v>98718.320240010566</v>
      </c>
      <c r="N21" s="187">
        <f t="shared" si="3"/>
        <v>166869.73865084289</v>
      </c>
      <c r="O21" s="187">
        <f t="shared" si="1"/>
        <v>11679328.690150425</v>
      </c>
    </row>
    <row r="22" spans="1:15">
      <c r="A22" s="113" t="s">
        <v>354</v>
      </c>
      <c r="B22" s="114"/>
      <c r="C22" s="114"/>
      <c r="D22" s="114"/>
      <c r="E22" s="114"/>
      <c r="F22" s="114"/>
      <c r="G22" s="114"/>
      <c r="H22" s="114"/>
      <c r="J22" s="2">
        <v>6</v>
      </c>
      <c r="K22" s="187">
        <f t="shared" si="4"/>
        <v>11679328.690150425</v>
      </c>
      <c r="L22" s="187">
        <f t="shared" si="0"/>
        <v>265588.05889085343</v>
      </c>
      <c r="M22" s="187">
        <f t="shared" si="2"/>
        <v>97327.739084586879</v>
      </c>
      <c r="N22" s="187">
        <f t="shared" si="3"/>
        <v>168260.31980626655</v>
      </c>
      <c r="O22" s="187">
        <f t="shared" si="1"/>
        <v>11511068.370344158</v>
      </c>
    </row>
    <row r="23" spans="1:15">
      <c r="A23" s="113" t="s">
        <v>355</v>
      </c>
      <c r="B23" s="114"/>
      <c r="C23" s="114"/>
      <c r="D23" s="114"/>
      <c r="E23" s="114"/>
      <c r="F23" s="114"/>
      <c r="G23" s="114"/>
      <c r="H23" s="114"/>
      <c r="J23" s="2">
        <v>7</v>
      </c>
      <c r="K23" s="187">
        <f t="shared" si="4"/>
        <v>11511068.370344158</v>
      </c>
      <c r="L23" s="187">
        <f t="shared" si="0"/>
        <v>265588.05889085343</v>
      </c>
      <c r="M23" s="187">
        <f t="shared" si="2"/>
        <v>95925.569752867988</v>
      </c>
      <c r="N23" s="187">
        <f t="shared" si="3"/>
        <v>169662.48913798545</v>
      </c>
      <c r="O23" s="187">
        <f t="shared" si="1"/>
        <v>11341405.881206173</v>
      </c>
    </row>
    <row r="24" spans="1:15">
      <c r="A24" s="114"/>
      <c r="B24" s="114"/>
      <c r="C24" s="114"/>
      <c r="D24" s="114"/>
      <c r="E24" s="114"/>
      <c r="F24" s="114"/>
      <c r="G24" s="114"/>
      <c r="H24" s="114"/>
      <c r="J24" s="2">
        <v>8</v>
      </c>
      <c r="K24" s="187">
        <f t="shared" si="4"/>
        <v>11341405.881206173</v>
      </c>
      <c r="L24" s="187">
        <f t="shared" si="0"/>
        <v>265588.05889085343</v>
      </c>
      <c r="M24" s="187">
        <f t="shared" si="2"/>
        <v>94511.715676718115</v>
      </c>
      <c r="N24" s="187">
        <f t="shared" si="3"/>
        <v>171076.34321413533</v>
      </c>
      <c r="O24" s="187">
        <f t="shared" si="1"/>
        <v>11170329.537992038</v>
      </c>
    </row>
    <row r="25" spans="1:15">
      <c r="A25" s="115" t="s">
        <v>56</v>
      </c>
      <c r="B25" s="114"/>
      <c r="C25" s="114"/>
      <c r="D25" s="114"/>
      <c r="E25" s="114"/>
      <c r="F25" s="114"/>
      <c r="G25" s="114"/>
      <c r="H25" s="114"/>
      <c r="J25" s="2">
        <v>9</v>
      </c>
      <c r="K25" s="187">
        <f t="shared" si="4"/>
        <v>11170329.537992038</v>
      </c>
      <c r="L25" s="187">
        <f t="shared" si="0"/>
        <v>265588.05889085343</v>
      </c>
      <c r="M25" s="187">
        <f t="shared" si="2"/>
        <v>93086.079483266978</v>
      </c>
      <c r="N25" s="187">
        <f t="shared" si="3"/>
        <v>172501.97940758645</v>
      </c>
      <c r="O25" s="187">
        <f t="shared" si="1"/>
        <v>10997827.558584452</v>
      </c>
    </row>
    <row r="26" spans="1:15">
      <c r="A26" s="113" t="s">
        <v>356</v>
      </c>
      <c r="B26" s="114"/>
      <c r="C26" s="114"/>
      <c r="D26" s="114"/>
      <c r="E26" s="114"/>
      <c r="F26" s="114"/>
      <c r="G26" s="114"/>
      <c r="H26" s="122" t="s">
        <v>140</v>
      </c>
      <c r="J26" s="2">
        <v>10</v>
      </c>
      <c r="K26" s="187">
        <f t="shared" si="4"/>
        <v>10997827.558584452</v>
      </c>
      <c r="L26" s="187">
        <f t="shared" si="0"/>
        <v>265588.05889085343</v>
      </c>
      <c r="M26" s="187">
        <f t="shared" si="2"/>
        <v>91648.562988203776</v>
      </c>
      <c r="N26" s="187">
        <f t="shared" si="3"/>
        <v>173939.49590264968</v>
      </c>
      <c r="O26" s="187">
        <f t="shared" si="1"/>
        <v>10823888.062681802</v>
      </c>
    </row>
    <row r="27" spans="1:15">
      <c r="A27" s="113"/>
      <c r="B27" s="114"/>
      <c r="C27" s="114"/>
      <c r="D27" s="114"/>
      <c r="E27" s="114"/>
      <c r="F27" s="114"/>
      <c r="G27" s="114"/>
      <c r="H27" s="122"/>
      <c r="J27" s="2">
        <v>11</v>
      </c>
      <c r="K27" s="187">
        <f t="shared" si="4"/>
        <v>10823888.062681802</v>
      </c>
      <c r="L27" s="187">
        <f t="shared" si="0"/>
        <v>265588.05889085343</v>
      </c>
      <c r="M27" s="187">
        <f t="shared" si="2"/>
        <v>90199.067189015012</v>
      </c>
      <c r="N27" s="187">
        <f t="shared" si="3"/>
        <v>175388.99170183841</v>
      </c>
      <c r="O27" s="187">
        <f t="shared" si="1"/>
        <v>10648499.070979964</v>
      </c>
    </row>
    <row r="28" spans="1:15">
      <c r="A28" s="113" t="s">
        <v>357</v>
      </c>
      <c r="B28" s="114"/>
      <c r="C28" s="114"/>
      <c r="D28" s="114"/>
      <c r="E28" s="114"/>
      <c r="F28" s="114"/>
      <c r="G28" s="114"/>
      <c r="H28" s="122" t="s">
        <v>149</v>
      </c>
      <c r="J28" s="2">
        <v>12</v>
      </c>
      <c r="K28" s="187">
        <f t="shared" si="4"/>
        <v>10648499.070979964</v>
      </c>
      <c r="L28" s="187">
        <f t="shared" si="0"/>
        <v>265588.05889085343</v>
      </c>
      <c r="M28" s="187">
        <f t="shared" si="2"/>
        <v>88737.492258166356</v>
      </c>
      <c r="N28" s="187">
        <f t="shared" si="3"/>
        <v>176850.56663268709</v>
      </c>
      <c r="O28" s="187">
        <f t="shared" si="1"/>
        <v>10471648.504347278</v>
      </c>
    </row>
    <row r="29" spans="1:15">
      <c r="A29" s="114" t="s">
        <v>75</v>
      </c>
      <c r="B29" s="114"/>
      <c r="C29" s="114"/>
      <c r="D29" s="114"/>
      <c r="E29" s="114"/>
      <c r="F29" s="114"/>
      <c r="G29" s="114"/>
      <c r="J29" s="2">
        <v>13</v>
      </c>
      <c r="K29" s="187">
        <f t="shared" si="4"/>
        <v>10471648.504347278</v>
      </c>
      <c r="L29" s="187">
        <f t="shared" si="0"/>
        <v>265588.05889085343</v>
      </c>
      <c r="M29" s="187">
        <f t="shared" si="2"/>
        <v>87263.737536227316</v>
      </c>
      <c r="N29" s="187">
        <f t="shared" si="3"/>
        <v>178324.32135462615</v>
      </c>
      <c r="O29" s="187">
        <f t="shared" si="1"/>
        <v>10293324.182992652</v>
      </c>
    </row>
    <row r="30" spans="1:15">
      <c r="A30" s="114" t="s">
        <v>358</v>
      </c>
      <c r="B30" s="114"/>
      <c r="C30" s="114"/>
      <c r="D30" s="114"/>
      <c r="E30" s="114"/>
      <c r="F30" s="114"/>
      <c r="G30" s="114"/>
      <c r="H30" s="122" t="s">
        <v>140</v>
      </c>
      <c r="J30" s="2">
        <v>14</v>
      </c>
      <c r="K30" s="187">
        <f t="shared" si="4"/>
        <v>10293324.182992652</v>
      </c>
      <c r="L30" s="187">
        <f t="shared" si="0"/>
        <v>265588.05889085343</v>
      </c>
      <c r="M30" s="187">
        <f t="shared" si="2"/>
        <v>85777.701524938762</v>
      </c>
      <c r="N30" s="187">
        <f t="shared" si="3"/>
        <v>179810.35736591468</v>
      </c>
      <c r="O30" s="187">
        <f t="shared" si="1"/>
        <v>10113513.825626737</v>
      </c>
    </row>
    <row r="31" spans="1:15">
      <c r="A31" s="113" t="s">
        <v>359</v>
      </c>
      <c r="B31" s="114"/>
      <c r="C31" s="114"/>
      <c r="D31" s="114"/>
      <c r="E31" s="114"/>
      <c r="F31" s="114"/>
      <c r="G31" s="114"/>
      <c r="J31" s="2">
        <v>15</v>
      </c>
      <c r="K31" s="187">
        <f t="shared" si="4"/>
        <v>10113513.825626737</v>
      </c>
      <c r="L31" s="187">
        <f t="shared" si="0"/>
        <v>265588.05889085343</v>
      </c>
      <c r="M31" s="187">
        <f t="shared" si="2"/>
        <v>84279.281880222799</v>
      </c>
      <c r="N31" s="187">
        <f t="shared" si="3"/>
        <v>181308.77701063064</v>
      </c>
      <c r="O31" s="187">
        <f t="shared" si="1"/>
        <v>9932205.0486161057</v>
      </c>
    </row>
    <row r="32" spans="1:15">
      <c r="A32" s="113" t="s">
        <v>360</v>
      </c>
      <c r="B32" s="114"/>
      <c r="C32" s="114"/>
      <c r="D32" s="114"/>
      <c r="E32" s="114"/>
      <c r="F32" s="114"/>
      <c r="G32" s="114"/>
      <c r="H32" s="122" t="s">
        <v>154</v>
      </c>
      <c r="J32" s="2">
        <v>16</v>
      </c>
      <c r="K32" s="187">
        <f t="shared" si="4"/>
        <v>9932205.0486161057</v>
      </c>
      <c r="L32" s="187">
        <f t="shared" si="0"/>
        <v>265588.05889085343</v>
      </c>
      <c r="M32" s="187">
        <f t="shared" si="2"/>
        <v>82768.375405134197</v>
      </c>
      <c r="N32" s="187">
        <f t="shared" si="3"/>
        <v>182819.68348571923</v>
      </c>
      <c r="O32" s="187">
        <f t="shared" si="1"/>
        <v>9749385.3651303872</v>
      </c>
    </row>
    <row r="33" spans="1:15">
      <c r="A33" s="113"/>
      <c r="B33" s="114"/>
      <c r="C33" s="114"/>
      <c r="D33" s="114"/>
      <c r="E33" s="114"/>
      <c r="F33" s="114"/>
      <c r="G33" s="114"/>
      <c r="H33" s="122"/>
      <c r="J33" s="2">
        <v>17</v>
      </c>
      <c r="K33" s="187">
        <f t="shared" si="4"/>
        <v>9749385.3651303872</v>
      </c>
      <c r="L33" s="187">
        <f t="shared" si="0"/>
        <v>265588.05889085343</v>
      </c>
      <c r="M33" s="187">
        <f t="shared" si="2"/>
        <v>81244.878042753204</v>
      </c>
      <c r="N33" s="187">
        <f t="shared" si="3"/>
        <v>184343.18084810022</v>
      </c>
      <c r="O33" s="187">
        <f t="shared" si="1"/>
        <v>9565042.184282288</v>
      </c>
    </row>
    <row r="34" spans="1:15">
      <c r="A34" s="113" t="s">
        <v>361</v>
      </c>
      <c r="B34" s="114"/>
      <c r="C34" s="114"/>
      <c r="D34" s="114"/>
      <c r="E34" s="114"/>
      <c r="F34" s="114"/>
      <c r="G34" s="114"/>
      <c r="J34" s="2">
        <v>18</v>
      </c>
      <c r="K34" s="187">
        <f t="shared" si="4"/>
        <v>9565042.184282288</v>
      </c>
      <c r="L34" s="187">
        <f t="shared" si="0"/>
        <v>265588.05889085343</v>
      </c>
      <c r="M34" s="187">
        <f t="shared" si="2"/>
        <v>79708.684869019053</v>
      </c>
      <c r="N34" s="187">
        <f t="shared" si="3"/>
        <v>185879.3740218344</v>
      </c>
      <c r="O34" s="187">
        <f t="shared" si="1"/>
        <v>9379162.8102604542</v>
      </c>
    </row>
    <row r="35" spans="1:15">
      <c r="A35" s="113"/>
      <c r="B35" s="114"/>
      <c r="C35" s="114"/>
      <c r="D35" s="114"/>
      <c r="E35" s="114"/>
      <c r="F35" s="114"/>
      <c r="G35" s="114"/>
      <c r="J35" s="2">
        <v>19</v>
      </c>
      <c r="K35" s="187">
        <f t="shared" si="4"/>
        <v>9379162.8102604542</v>
      </c>
      <c r="L35" s="187">
        <f t="shared" si="0"/>
        <v>265588.05889085343</v>
      </c>
      <c r="M35" s="187">
        <f t="shared" si="2"/>
        <v>78159.690085503767</v>
      </c>
      <c r="N35" s="187">
        <f t="shared" si="3"/>
        <v>187428.36880534969</v>
      </c>
      <c r="O35" s="187">
        <f t="shared" si="1"/>
        <v>9191734.4414551053</v>
      </c>
    </row>
    <row r="36" spans="1:15">
      <c r="A36" s="113" t="s">
        <v>362</v>
      </c>
      <c r="B36" s="114"/>
      <c r="C36" s="114"/>
      <c r="D36" s="114"/>
      <c r="E36" s="114"/>
      <c r="F36" s="114"/>
      <c r="G36" s="114"/>
      <c r="H36" s="122" t="s">
        <v>143</v>
      </c>
      <c r="J36" s="2">
        <v>20</v>
      </c>
      <c r="K36" s="187">
        <f t="shared" si="4"/>
        <v>9191734.4414551053</v>
      </c>
      <c r="L36" s="187">
        <f t="shared" si="0"/>
        <v>265588.05889085343</v>
      </c>
      <c r="M36" s="187">
        <f t="shared" si="2"/>
        <v>76597.787012125846</v>
      </c>
      <c r="N36" s="187">
        <f t="shared" si="3"/>
        <v>188990.2718787276</v>
      </c>
      <c r="O36" s="187">
        <f t="shared" si="1"/>
        <v>9002744.1695763785</v>
      </c>
    </row>
    <row r="37" spans="1:15">
      <c r="A37" s="113"/>
      <c r="B37" s="114"/>
      <c r="C37" s="114"/>
      <c r="D37" s="114"/>
      <c r="E37" s="114"/>
      <c r="F37" s="114"/>
      <c r="G37" s="114"/>
      <c r="H37" s="122"/>
      <c r="J37" s="2">
        <v>21</v>
      </c>
      <c r="K37" s="187">
        <f t="shared" si="4"/>
        <v>9002744.1695763785</v>
      </c>
      <c r="L37" s="187">
        <f t="shared" si="0"/>
        <v>265588.05889085343</v>
      </c>
      <c r="M37" s="187">
        <f t="shared" si="2"/>
        <v>75022.868079803142</v>
      </c>
      <c r="N37" s="187">
        <f t="shared" si="3"/>
        <v>190565.19081105033</v>
      </c>
      <c r="O37" s="187">
        <f t="shared" si="1"/>
        <v>8812178.9787653275</v>
      </c>
    </row>
    <row r="38" spans="1:15">
      <c r="A38" s="113" t="s">
        <v>363</v>
      </c>
      <c r="B38" s="114"/>
      <c r="C38" s="114"/>
      <c r="D38" s="114"/>
      <c r="E38" s="114"/>
      <c r="F38" s="114"/>
      <c r="G38" s="114"/>
      <c r="H38" s="122" t="s">
        <v>143</v>
      </c>
      <c r="J38" s="2">
        <v>22</v>
      </c>
      <c r="K38" s="187">
        <f t="shared" si="4"/>
        <v>8812178.9787653275</v>
      </c>
      <c r="L38" s="187">
        <f t="shared" si="0"/>
        <v>265588.05889085343</v>
      </c>
      <c r="M38" s="187">
        <f t="shared" si="2"/>
        <v>73434.824823044357</v>
      </c>
      <c r="N38" s="187">
        <f t="shared" si="3"/>
        <v>192153.23406780907</v>
      </c>
      <c r="O38" s="187">
        <f t="shared" si="1"/>
        <v>8620025.7446975186</v>
      </c>
    </row>
    <row r="39" spans="1:15">
      <c r="A39" s="113"/>
      <c r="B39" s="114"/>
      <c r="C39" s="114"/>
      <c r="D39" s="114"/>
      <c r="E39" s="114"/>
      <c r="F39" s="114"/>
      <c r="G39" s="114"/>
      <c r="H39" s="123" t="s">
        <v>155</v>
      </c>
      <c r="J39" s="2">
        <v>23</v>
      </c>
      <c r="K39" s="187">
        <f t="shared" si="4"/>
        <v>8620025.7446975186</v>
      </c>
      <c r="L39" s="187">
        <f t="shared" si="0"/>
        <v>265588.05889085343</v>
      </c>
      <c r="M39" s="187">
        <f t="shared" si="2"/>
        <v>71833.547872479292</v>
      </c>
      <c r="N39" s="187">
        <f t="shared" si="3"/>
        <v>193754.51101837415</v>
      </c>
      <c r="O39" s="187">
        <f t="shared" si="1"/>
        <v>8426271.2336791437</v>
      </c>
    </row>
    <row r="40" spans="1:15">
      <c r="A40" s="116"/>
      <c r="B40" s="116"/>
      <c r="C40" s="116"/>
      <c r="D40" s="116"/>
      <c r="E40" s="116"/>
      <c r="F40" s="116"/>
      <c r="G40" s="116"/>
      <c r="H40" s="116"/>
      <c r="J40" s="2">
        <v>24</v>
      </c>
      <c r="K40" s="187">
        <f t="shared" si="4"/>
        <v>8426271.2336791437</v>
      </c>
      <c r="L40" s="187">
        <f t="shared" si="0"/>
        <v>265588.05889085343</v>
      </c>
      <c r="M40" s="187">
        <f t="shared" si="2"/>
        <v>70218.926947326181</v>
      </c>
      <c r="N40" s="187">
        <f t="shared" si="3"/>
        <v>195369.13194352726</v>
      </c>
      <c r="O40" s="187">
        <f t="shared" si="1"/>
        <v>8230902.1017356161</v>
      </c>
    </row>
    <row r="41" spans="1:15">
      <c r="J41" s="2">
        <v>25</v>
      </c>
      <c r="K41" s="187">
        <f t="shared" si="4"/>
        <v>8230902.1017356161</v>
      </c>
      <c r="L41" s="187">
        <f t="shared" si="0"/>
        <v>265588.05889085343</v>
      </c>
      <c r="M41" s="187">
        <f t="shared" si="2"/>
        <v>68590.850847796784</v>
      </c>
      <c r="N41" s="187">
        <f t="shared" si="3"/>
        <v>196997.20804305666</v>
      </c>
      <c r="O41" s="187">
        <f t="shared" si="1"/>
        <v>8033904.8936925596</v>
      </c>
    </row>
    <row r="42" spans="1:15">
      <c r="J42" s="2">
        <v>26</v>
      </c>
      <c r="K42" s="187">
        <f t="shared" si="4"/>
        <v>8033904.8936925596</v>
      </c>
      <c r="L42" s="187">
        <f t="shared" si="0"/>
        <v>265588.05889085343</v>
      </c>
      <c r="M42" s="187">
        <f t="shared" si="2"/>
        <v>66949.207447437977</v>
      </c>
      <c r="N42" s="187">
        <f t="shared" si="3"/>
        <v>198638.85144341545</v>
      </c>
      <c r="O42" s="187">
        <f t="shared" si="1"/>
        <v>7835266.0422491441</v>
      </c>
    </row>
    <row r="43" spans="1:15">
      <c r="J43" s="2">
        <v>27</v>
      </c>
      <c r="K43" s="187">
        <f t="shared" si="4"/>
        <v>7835266.0422491441</v>
      </c>
      <c r="L43" s="187">
        <f t="shared" si="0"/>
        <v>265588.05889085343</v>
      </c>
      <c r="M43" s="187">
        <f t="shared" si="2"/>
        <v>65293.883685409506</v>
      </c>
      <c r="N43" s="187">
        <f t="shared" si="3"/>
        <v>200294.17520544396</v>
      </c>
      <c r="O43" s="187">
        <f t="shared" si="1"/>
        <v>7634971.8670437001</v>
      </c>
    </row>
    <row r="44" spans="1:15">
      <c r="J44" s="2">
        <v>28</v>
      </c>
      <c r="K44" s="187">
        <f t="shared" si="4"/>
        <v>7634971.8670437001</v>
      </c>
      <c r="L44" s="187">
        <f t="shared" si="0"/>
        <v>265588.05889085343</v>
      </c>
      <c r="M44" s="187">
        <f t="shared" si="2"/>
        <v>63624.765558697465</v>
      </c>
      <c r="N44" s="187">
        <f t="shared" si="3"/>
        <v>201963.29333215597</v>
      </c>
      <c r="O44" s="187">
        <f t="shared" si="1"/>
        <v>7433008.5737115443</v>
      </c>
    </row>
    <row r="45" spans="1:15">
      <c r="J45" s="2">
        <v>29</v>
      </c>
      <c r="K45" s="187">
        <f t="shared" si="4"/>
        <v>7433008.5737115443</v>
      </c>
      <c r="L45" s="187">
        <f t="shared" si="0"/>
        <v>265588.05889085343</v>
      </c>
      <c r="M45" s="187">
        <f t="shared" si="2"/>
        <v>61941.738114262844</v>
      </c>
      <c r="N45" s="187">
        <f t="shared" si="3"/>
        <v>203646.32077659061</v>
      </c>
      <c r="O45" s="187">
        <f t="shared" si="1"/>
        <v>7229362.2529349532</v>
      </c>
    </row>
    <row r="46" spans="1:15">
      <c r="J46" s="2">
        <v>30</v>
      </c>
      <c r="K46" s="187">
        <f t="shared" si="4"/>
        <v>7229362.2529349532</v>
      </c>
      <c r="L46" s="187">
        <f t="shared" si="0"/>
        <v>265588.05889085343</v>
      </c>
      <c r="M46" s="187">
        <f t="shared" si="2"/>
        <v>60244.685441124602</v>
      </c>
      <c r="N46" s="187">
        <f t="shared" si="3"/>
        <v>205343.37344972885</v>
      </c>
      <c r="O46" s="187">
        <f t="shared" si="1"/>
        <v>7024018.8794852244</v>
      </c>
    </row>
    <row r="47" spans="1:15">
      <c r="J47" s="2">
        <v>31</v>
      </c>
      <c r="K47" s="187">
        <f t="shared" si="4"/>
        <v>7024018.8794852244</v>
      </c>
      <c r="L47" s="187">
        <f t="shared" si="0"/>
        <v>265588.05889085343</v>
      </c>
      <c r="M47" s="187">
        <f t="shared" si="2"/>
        <v>58533.490662376847</v>
      </c>
      <c r="N47" s="187">
        <f t="shared" si="3"/>
        <v>207054.56822847662</v>
      </c>
      <c r="O47" s="187">
        <f t="shared" si="1"/>
        <v>6816964.3112567477</v>
      </c>
    </row>
    <row r="48" spans="1:15">
      <c r="J48" s="2">
        <v>32</v>
      </c>
      <c r="K48" s="187">
        <f t="shared" si="4"/>
        <v>6816964.3112567477</v>
      </c>
      <c r="L48" s="187">
        <f t="shared" si="0"/>
        <v>265588.05889085343</v>
      </c>
      <c r="M48" s="187">
        <f t="shared" si="2"/>
        <v>56808.03592713955</v>
      </c>
      <c r="N48" s="187">
        <f t="shared" si="3"/>
        <v>208780.02296371388</v>
      </c>
      <c r="O48" s="187">
        <f t="shared" si="1"/>
        <v>6608184.2882930338</v>
      </c>
    </row>
    <row r="49" spans="8:15">
      <c r="J49" s="2">
        <v>33</v>
      </c>
      <c r="K49" s="187">
        <f t="shared" si="4"/>
        <v>6608184.2882930338</v>
      </c>
      <c r="L49" s="187">
        <f t="shared" si="0"/>
        <v>265588.05889085343</v>
      </c>
      <c r="M49" s="187">
        <f t="shared" si="2"/>
        <v>55068.202402441922</v>
      </c>
      <c r="N49" s="187">
        <f t="shared" si="3"/>
        <v>210519.85648841152</v>
      </c>
      <c r="O49" s="187">
        <f t="shared" si="1"/>
        <v>6397664.4318046225</v>
      </c>
    </row>
    <row r="50" spans="8:15">
      <c r="J50" s="2">
        <v>34</v>
      </c>
      <c r="K50" s="187">
        <f t="shared" si="4"/>
        <v>6397664.4318046225</v>
      </c>
      <c r="L50" s="187">
        <f t="shared" si="0"/>
        <v>265588.05889085343</v>
      </c>
      <c r="M50" s="187">
        <f t="shared" si="2"/>
        <v>53313.870265038495</v>
      </c>
      <c r="N50" s="187">
        <f t="shared" si="3"/>
        <v>212274.18862581495</v>
      </c>
      <c r="O50" s="187">
        <f t="shared" si="1"/>
        <v>6185390.2431788072</v>
      </c>
    </row>
    <row r="51" spans="8:15">
      <c r="J51" s="2">
        <v>35</v>
      </c>
      <c r="K51" s="187">
        <f t="shared" si="4"/>
        <v>6185390.2431788072</v>
      </c>
      <c r="L51" s="187">
        <f t="shared" si="0"/>
        <v>265588.05889085343</v>
      </c>
      <c r="M51" s="187">
        <f t="shared" si="2"/>
        <v>51544.918693156709</v>
      </c>
      <c r="N51" s="187">
        <f t="shared" si="3"/>
        <v>214043.14019769672</v>
      </c>
      <c r="O51" s="187">
        <f t="shared" si="1"/>
        <v>5971347.1029811101</v>
      </c>
    </row>
    <row r="52" spans="8:15">
      <c r="J52" s="2">
        <v>36</v>
      </c>
      <c r="K52" s="187">
        <f t="shared" si="4"/>
        <v>5971347.1029811101</v>
      </c>
      <c r="L52" s="187">
        <f t="shared" si="0"/>
        <v>265588.05889085343</v>
      </c>
      <c r="M52" s="187">
        <f t="shared" si="2"/>
        <v>49761.225858175909</v>
      </c>
      <c r="N52" s="187">
        <f t="shared" si="3"/>
        <v>215826.83303267753</v>
      </c>
      <c r="O52" s="187">
        <f t="shared" si="1"/>
        <v>5755520.2699484322</v>
      </c>
    </row>
    <row r="53" spans="8:15">
      <c r="J53" s="2">
        <v>37</v>
      </c>
      <c r="K53" s="187">
        <f t="shared" si="4"/>
        <v>5755520.2699484322</v>
      </c>
      <c r="L53" s="187">
        <f t="shared" si="0"/>
        <v>265588.05889085343</v>
      </c>
      <c r="M53" s="187">
        <f t="shared" si="2"/>
        <v>47962.668916236922</v>
      </c>
      <c r="N53" s="187">
        <f t="shared" si="3"/>
        <v>217625.38997461653</v>
      </c>
      <c r="O53" s="187">
        <f t="shared" si="1"/>
        <v>5537894.8799738158</v>
      </c>
    </row>
    <row r="54" spans="8:15">
      <c r="J54" s="2">
        <v>38</v>
      </c>
      <c r="K54" s="187">
        <f t="shared" si="4"/>
        <v>5537894.8799738158</v>
      </c>
      <c r="L54" s="187">
        <f t="shared" si="0"/>
        <v>265588.05889085343</v>
      </c>
      <c r="M54" s="187">
        <f t="shared" si="2"/>
        <v>46149.123999781783</v>
      </c>
      <c r="N54" s="187">
        <f t="shared" si="3"/>
        <v>219438.93489107164</v>
      </c>
      <c r="O54" s="187">
        <f t="shared" si="1"/>
        <v>5318455.9450827446</v>
      </c>
    </row>
    <row r="55" spans="8:15">
      <c r="J55" s="2">
        <v>39</v>
      </c>
      <c r="K55" s="187">
        <f t="shared" si="4"/>
        <v>5318455.9450827446</v>
      </c>
      <c r="L55" s="187">
        <f t="shared" si="0"/>
        <v>265588.05889085343</v>
      </c>
      <c r="M55" s="187">
        <f t="shared" si="2"/>
        <v>44320.466209022852</v>
      </c>
      <c r="N55" s="187">
        <f t="shared" si="3"/>
        <v>221267.5926818306</v>
      </c>
      <c r="O55" s="187">
        <f t="shared" si="1"/>
        <v>5097188.3524009138</v>
      </c>
    </row>
    <row r="56" spans="8:15">
      <c r="J56" s="2">
        <v>40</v>
      </c>
      <c r="K56" s="187">
        <f t="shared" si="4"/>
        <v>5097188.3524009138</v>
      </c>
      <c r="L56" s="187">
        <f t="shared" si="0"/>
        <v>265588.05889085343</v>
      </c>
      <c r="M56" s="187">
        <f t="shared" si="2"/>
        <v>42476.569603340933</v>
      </c>
      <c r="N56" s="187">
        <f t="shared" si="3"/>
        <v>223111.48928751252</v>
      </c>
      <c r="O56" s="187">
        <f t="shared" si="1"/>
        <v>4874076.8631134015</v>
      </c>
    </row>
    <row r="57" spans="8:15">
      <c r="J57" s="2">
        <v>41</v>
      </c>
      <c r="K57" s="187">
        <f t="shared" si="4"/>
        <v>4874076.8631134015</v>
      </c>
      <c r="L57" s="187">
        <f t="shared" si="0"/>
        <v>265588.05889085343</v>
      </c>
      <c r="M57" s="187">
        <f t="shared" si="2"/>
        <v>40617.307192611668</v>
      </c>
      <c r="N57" s="187">
        <f t="shared" si="3"/>
        <v>224970.75169824177</v>
      </c>
      <c r="O57" s="187">
        <f t="shared" si="1"/>
        <v>4649106.1114151599</v>
      </c>
    </row>
    <row r="58" spans="8:15">
      <c r="J58" s="2">
        <v>42</v>
      </c>
      <c r="K58" s="187">
        <f t="shared" si="4"/>
        <v>4649106.1114151599</v>
      </c>
      <c r="L58" s="187">
        <f t="shared" si="0"/>
        <v>265588.05889085343</v>
      </c>
      <c r="M58" s="187">
        <f t="shared" si="2"/>
        <v>38742.550928459641</v>
      </c>
      <c r="N58" s="187">
        <f t="shared" si="3"/>
        <v>226845.50796239378</v>
      </c>
      <c r="O58" s="187">
        <f t="shared" si="1"/>
        <v>4422260.6034527663</v>
      </c>
    </row>
    <row r="59" spans="8:15">
      <c r="J59" s="2">
        <v>43</v>
      </c>
      <c r="K59" s="187">
        <f t="shared" si="4"/>
        <v>4422260.6034527663</v>
      </c>
      <c r="L59" s="187">
        <f t="shared" si="0"/>
        <v>265588.05889085343</v>
      </c>
      <c r="M59" s="187">
        <f t="shared" si="2"/>
        <v>36852.171695439705</v>
      </c>
      <c r="N59" s="187">
        <f t="shared" si="3"/>
        <v>228735.88719541373</v>
      </c>
      <c r="O59" s="187">
        <f t="shared" si="1"/>
        <v>4193524.7162573524</v>
      </c>
    </row>
    <row r="60" spans="8:15">
      <c r="H60" s="8" t="s">
        <v>227</v>
      </c>
      <c r="J60" s="2">
        <v>44</v>
      </c>
      <c r="K60" s="187">
        <f t="shared" si="4"/>
        <v>4193524.7162573524</v>
      </c>
      <c r="L60" s="187">
        <f t="shared" si="0"/>
        <v>265588.05889085343</v>
      </c>
      <c r="M60" s="187">
        <f t="shared" si="2"/>
        <v>34946.039302144585</v>
      </c>
      <c r="N60" s="187">
        <f t="shared" si="3"/>
        <v>230642.01958870888</v>
      </c>
      <c r="O60" s="187">
        <f t="shared" si="1"/>
        <v>3962882.6966686435</v>
      </c>
    </row>
    <row r="61" spans="8:15">
      <c r="H61" s="124" t="s">
        <v>228</v>
      </c>
      <c r="J61" s="2">
        <v>45</v>
      </c>
      <c r="K61" s="187">
        <f t="shared" si="4"/>
        <v>3962882.6966686435</v>
      </c>
      <c r="L61" s="187">
        <f t="shared" si="0"/>
        <v>265588.05889085343</v>
      </c>
      <c r="M61" s="187">
        <f t="shared" si="2"/>
        <v>33024.022472238677</v>
      </c>
      <c r="N61" s="187">
        <f t="shared" si="3"/>
        <v>232564.03641861479</v>
      </c>
      <c r="O61" s="187">
        <f t="shared" si="1"/>
        <v>3730318.6602500286</v>
      </c>
    </row>
    <row r="62" spans="8:15">
      <c r="J62" s="2">
        <v>46</v>
      </c>
      <c r="K62" s="187">
        <f t="shared" si="4"/>
        <v>3730318.6602500286</v>
      </c>
      <c r="L62" s="187">
        <f t="shared" si="0"/>
        <v>265588.05889085343</v>
      </c>
      <c r="M62" s="187">
        <f t="shared" si="2"/>
        <v>31085.988835416891</v>
      </c>
      <c r="N62" s="187">
        <f t="shared" si="3"/>
        <v>234502.07005543655</v>
      </c>
      <c r="O62" s="187">
        <f t="shared" si="1"/>
        <v>3495816.5901945923</v>
      </c>
    </row>
    <row r="63" spans="8:15">
      <c r="J63" s="2">
        <v>47</v>
      </c>
      <c r="K63" s="187">
        <f t="shared" si="4"/>
        <v>3495816.5901945923</v>
      </c>
      <c r="L63" s="187">
        <f t="shared" si="0"/>
        <v>265588.05889085343</v>
      </c>
      <c r="M63" s="187">
        <f t="shared" si="2"/>
        <v>29131.804918288246</v>
      </c>
      <c r="N63" s="187">
        <f t="shared" si="3"/>
        <v>236456.2539725652</v>
      </c>
      <c r="O63" s="187">
        <f t="shared" si="1"/>
        <v>3259360.336222027</v>
      </c>
    </row>
    <row r="64" spans="8:15">
      <c r="J64" s="2">
        <v>48</v>
      </c>
      <c r="K64" s="187">
        <f t="shared" si="4"/>
        <v>3259360.336222027</v>
      </c>
      <c r="L64" s="187">
        <f t="shared" si="0"/>
        <v>265588.05889085343</v>
      </c>
      <c r="M64" s="187">
        <f t="shared" si="2"/>
        <v>27161.336135183537</v>
      </c>
      <c r="N64" s="187">
        <f t="shared" si="3"/>
        <v>238426.72275566988</v>
      </c>
      <c r="O64" s="187">
        <f t="shared" si="1"/>
        <v>3020933.6134663569</v>
      </c>
    </row>
    <row r="65" spans="10:15">
      <c r="J65" s="2">
        <v>49</v>
      </c>
      <c r="K65" s="187">
        <f t="shared" si="4"/>
        <v>3020933.6134663569</v>
      </c>
      <c r="L65" s="187">
        <f t="shared" si="0"/>
        <v>265588.05889085343</v>
      </c>
      <c r="M65" s="187">
        <f t="shared" si="2"/>
        <v>25174.446778886293</v>
      </c>
      <c r="N65" s="187">
        <f t="shared" si="3"/>
        <v>240413.61211196714</v>
      </c>
      <c r="O65" s="187">
        <f t="shared" si="1"/>
        <v>2780520.0013543898</v>
      </c>
    </row>
    <row r="66" spans="10:15">
      <c r="J66" s="2">
        <v>50</v>
      </c>
      <c r="K66" s="187">
        <f t="shared" si="4"/>
        <v>2780520.0013543898</v>
      </c>
      <c r="L66" s="187">
        <f t="shared" si="0"/>
        <v>265588.05889085343</v>
      </c>
      <c r="M66" s="187">
        <f t="shared" si="2"/>
        <v>23171.000011286564</v>
      </c>
      <c r="N66" s="187">
        <f t="shared" si="3"/>
        <v>242417.05887956687</v>
      </c>
      <c r="O66" s="187">
        <f t="shared" si="1"/>
        <v>2538102.942474823</v>
      </c>
    </row>
    <row r="67" spans="10:15">
      <c r="J67" s="2">
        <v>51</v>
      </c>
      <c r="K67" s="187">
        <f t="shared" si="4"/>
        <v>2538102.942474823</v>
      </c>
      <c r="L67" s="187">
        <f t="shared" si="0"/>
        <v>265588.05889085343</v>
      </c>
      <c r="M67" s="187">
        <f t="shared" si="2"/>
        <v>21150.857853956841</v>
      </c>
      <c r="N67" s="187">
        <f t="shared" si="3"/>
        <v>244437.20103689661</v>
      </c>
      <c r="O67" s="187">
        <f t="shared" si="1"/>
        <v>2293665.7414379264</v>
      </c>
    </row>
    <row r="68" spans="10:15">
      <c r="J68" s="2">
        <v>52</v>
      </c>
      <c r="K68" s="187">
        <f t="shared" si="4"/>
        <v>2293665.7414379264</v>
      </c>
      <c r="L68" s="187">
        <f t="shared" si="0"/>
        <v>265588.05889085343</v>
      </c>
      <c r="M68" s="187">
        <f t="shared" si="2"/>
        <v>19113.881178649372</v>
      </c>
      <c r="N68" s="187">
        <f t="shared" si="3"/>
        <v>246474.17771220408</v>
      </c>
      <c r="O68" s="187">
        <f t="shared" si="1"/>
        <v>2047191.5637257223</v>
      </c>
    </row>
    <row r="69" spans="10:15">
      <c r="J69" s="2">
        <v>53</v>
      </c>
      <c r="K69" s="187">
        <f t="shared" si="4"/>
        <v>2047191.5637257223</v>
      </c>
      <c r="L69" s="187">
        <f t="shared" si="0"/>
        <v>265588.05889085343</v>
      </c>
      <c r="M69" s="187">
        <f t="shared" si="2"/>
        <v>17059.929697714331</v>
      </c>
      <c r="N69" s="187">
        <f t="shared" si="3"/>
        <v>248528.12919313912</v>
      </c>
      <c r="O69" s="187">
        <f t="shared" si="1"/>
        <v>1798663.4345325832</v>
      </c>
    </row>
    <row r="70" spans="10:15">
      <c r="J70" s="2">
        <v>54</v>
      </c>
      <c r="K70" s="187">
        <f t="shared" si="4"/>
        <v>1798663.4345325832</v>
      </c>
      <c r="L70" s="187">
        <f t="shared" si="0"/>
        <v>265588.05889085343</v>
      </c>
      <c r="M70" s="187">
        <f t="shared" si="2"/>
        <v>14988.861954438175</v>
      </c>
      <c r="N70" s="187">
        <f t="shared" si="3"/>
        <v>250599.19693641525</v>
      </c>
      <c r="O70" s="187">
        <f t="shared" si="1"/>
        <v>1548064.2375961679</v>
      </c>
    </row>
    <row r="71" spans="10:15">
      <c r="J71" s="2">
        <v>55</v>
      </c>
      <c r="K71" s="187">
        <f t="shared" si="4"/>
        <v>1548064.2375961679</v>
      </c>
      <c r="L71" s="187">
        <f t="shared" si="0"/>
        <v>265588.05889085343</v>
      </c>
      <c r="M71" s="187">
        <f t="shared" si="2"/>
        <v>12900.53531330138</v>
      </c>
      <c r="N71" s="187">
        <f t="shared" si="3"/>
        <v>252687.52357755206</v>
      </c>
      <c r="O71" s="187">
        <f t="shared" si="1"/>
        <v>1295376.7140186159</v>
      </c>
    </row>
    <row r="72" spans="10:15">
      <c r="J72" s="2">
        <v>56</v>
      </c>
      <c r="K72" s="187">
        <f t="shared" si="4"/>
        <v>1295376.7140186159</v>
      </c>
      <c r="L72" s="187">
        <f t="shared" si="0"/>
        <v>265588.05889085343</v>
      </c>
      <c r="M72" s="187">
        <f t="shared" si="2"/>
        <v>10794.805950155114</v>
      </c>
      <c r="N72" s="187">
        <f t="shared" si="3"/>
        <v>254793.25294069832</v>
      </c>
      <c r="O72" s="187">
        <f t="shared" si="1"/>
        <v>1040583.4610779176</v>
      </c>
    </row>
    <row r="73" spans="10:15">
      <c r="J73" s="2">
        <v>57</v>
      </c>
      <c r="K73" s="187">
        <f t="shared" si="4"/>
        <v>1040583.4610779176</v>
      </c>
      <c r="L73" s="187">
        <f t="shared" si="0"/>
        <v>265588.05889085343</v>
      </c>
      <c r="M73" s="187">
        <f t="shared" si="2"/>
        <v>8671.5288423159618</v>
      </c>
      <c r="N73" s="187">
        <f t="shared" si="3"/>
        <v>256916.53004853748</v>
      </c>
      <c r="O73" s="187">
        <f t="shared" si="1"/>
        <v>783666.93102938007</v>
      </c>
    </row>
    <row r="74" spans="10:15">
      <c r="J74" s="2">
        <v>58</v>
      </c>
      <c r="K74" s="187">
        <f t="shared" si="4"/>
        <v>783666.93102938007</v>
      </c>
      <c r="L74" s="187">
        <f t="shared" si="0"/>
        <v>265588.05889085343</v>
      </c>
      <c r="M74" s="187">
        <f t="shared" si="2"/>
        <v>6530.5577585781493</v>
      </c>
      <c r="N74" s="187">
        <f t="shared" si="3"/>
        <v>259057.5011322753</v>
      </c>
      <c r="O74" s="187">
        <f t="shared" si="1"/>
        <v>524609.42989710474</v>
      </c>
    </row>
    <row r="75" spans="10:15">
      <c r="J75" s="2">
        <v>59</v>
      </c>
      <c r="K75" s="187">
        <f t="shared" ref="K75:K76" si="5">O74</f>
        <v>524609.42989710474</v>
      </c>
      <c r="L75" s="187">
        <f t="shared" si="0"/>
        <v>265588.05889085343</v>
      </c>
      <c r="M75" s="187">
        <f t="shared" si="2"/>
        <v>4371.7452491425229</v>
      </c>
      <c r="N75" s="187">
        <f t="shared" si="3"/>
        <v>261216.31364171091</v>
      </c>
      <c r="O75" s="187">
        <f t="shared" ref="O75:O76" si="6">K75-N75</f>
        <v>263393.11625539383</v>
      </c>
    </row>
    <row r="76" spans="10:15">
      <c r="J76" s="2">
        <v>60</v>
      </c>
      <c r="K76" s="187">
        <f t="shared" si="5"/>
        <v>263393.11625539383</v>
      </c>
      <c r="L76" s="187">
        <f t="shared" si="0"/>
        <v>265588.05889085343</v>
      </c>
      <c r="M76" s="187">
        <f t="shared" si="2"/>
        <v>2194.9426354615989</v>
      </c>
      <c r="N76" s="187">
        <f t="shared" si="3"/>
        <v>263393.11625539185</v>
      </c>
      <c r="O76" s="187">
        <f t="shared" si="6"/>
        <v>1.9790604710578918E-9</v>
      </c>
    </row>
    <row r="79" spans="10:15">
      <c r="N79" s="187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189D4-CC31-4B3A-91B4-95D99BEE51DC}">
  <dimension ref="H2:I9"/>
  <sheetViews>
    <sheetView workbookViewId="0">
      <selection activeCell="I7" sqref="I7"/>
    </sheetView>
  </sheetViews>
  <sheetFormatPr defaultRowHeight="14.5"/>
  <cols>
    <col min="8" max="8" width="33.08984375" bestFit="1" customWidth="1"/>
    <col min="9" max="9" width="33.453125" bestFit="1" customWidth="1"/>
  </cols>
  <sheetData>
    <row r="2" spans="8:9">
      <c r="I2" s="161" t="s">
        <v>426</v>
      </c>
    </row>
    <row r="3" spans="8:9">
      <c r="H3" s="161" t="s">
        <v>427</v>
      </c>
      <c r="I3">
        <v>4000</v>
      </c>
    </row>
    <row r="4" spans="8:9">
      <c r="H4" s="161" t="s">
        <v>428</v>
      </c>
      <c r="I4">
        <v>4500</v>
      </c>
    </row>
    <row r="6" spans="8:9" ht="21">
      <c r="H6" s="15" t="s">
        <v>429</v>
      </c>
    </row>
    <row r="7" spans="8:9" ht="21">
      <c r="H7" s="15" t="s">
        <v>430</v>
      </c>
    </row>
    <row r="9" spans="8:9" ht="26">
      <c r="H9" s="186" t="s">
        <v>431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9132F9-A521-4EF7-B4CA-99D726752DF2}">
  <dimension ref="A1:AY54"/>
  <sheetViews>
    <sheetView topLeftCell="A23" zoomScaleNormal="100" workbookViewId="0">
      <selection activeCell="A25" sqref="A25:F39"/>
    </sheetView>
  </sheetViews>
  <sheetFormatPr defaultColWidth="9.1796875" defaultRowHeight="15.5"/>
  <cols>
    <col min="1" max="1" width="29.1796875" style="1" customWidth="1"/>
    <col min="2" max="2" width="20.26953125" style="1" customWidth="1"/>
    <col min="3" max="3" width="17.7265625" style="1" customWidth="1"/>
    <col min="4" max="4" width="11.6328125" style="1" customWidth="1"/>
    <col min="5" max="5" width="18.81640625" style="1" bestFit="1" customWidth="1"/>
    <col min="6" max="6" width="28.54296875" style="1" bestFit="1" customWidth="1"/>
    <col min="7" max="10" width="9.1796875" style="1"/>
    <col min="11" max="11" width="21.54296875" style="1" bestFit="1" customWidth="1"/>
    <col min="12" max="12" width="22.54296875" style="1" customWidth="1"/>
    <col min="13" max="16" width="13.81640625" style="1" bestFit="1" customWidth="1"/>
    <col min="17" max="18" width="12.1796875" style="1" bestFit="1" customWidth="1"/>
    <col min="19" max="19" width="11.54296875" style="1" customWidth="1"/>
    <col min="20" max="20" width="13.81640625" style="1" customWidth="1"/>
    <col min="21" max="21" width="12.81640625" style="1" customWidth="1"/>
    <col min="22" max="49" width="9.1796875" style="1"/>
    <col min="50" max="50" width="36" style="1" bestFit="1" customWidth="1"/>
    <col min="51" max="16384" width="9.1796875" style="1"/>
  </cols>
  <sheetData>
    <row r="1" spans="1:51">
      <c r="C1" s="25" t="s">
        <v>77</v>
      </c>
      <c r="I1" s="8" t="s">
        <v>394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</row>
    <row r="2" spans="1:51">
      <c r="A2" s="26" t="s">
        <v>78</v>
      </c>
      <c r="I2" s="8" t="s">
        <v>377</v>
      </c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</row>
    <row r="3" spans="1:51" ht="15.75" customHeight="1">
      <c r="A3" s="27" t="s">
        <v>79</v>
      </c>
      <c r="B3" s="27"/>
      <c r="C3" s="27"/>
      <c r="D3" s="27"/>
      <c r="E3" s="27"/>
      <c r="F3" s="27"/>
      <c r="I3" s="8" t="s">
        <v>375</v>
      </c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X3" s="1" t="s">
        <v>364</v>
      </c>
    </row>
    <row r="4" spans="1:51">
      <c r="A4" s="1" t="s">
        <v>80</v>
      </c>
      <c r="L4" s="1" t="s">
        <v>400</v>
      </c>
      <c r="M4" s="1" t="s">
        <v>422</v>
      </c>
      <c r="N4" s="1" t="s">
        <v>409</v>
      </c>
      <c r="O4" s="1" t="s">
        <v>423</v>
      </c>
      <c r="P4" s="1" t="s">
        <v>411</v>
      </c>
      <c r="Q4" s="1" t="s">
        <v>424</v>
      </c>
      <c r="R4" s="1" t="s">
        <v>413</v>
      </c>
      <c r="S4" s="1" t="s">
        <v>94</v>
      </c>
      <c r="T4" s="1" t="s">
        <v>95</v>
      </c>
      <c r="U4" s="1" t="s">
        <v>96</v>
      </c>
      <c r="AX4" s="1" t="s">
        <v>365</v>
      </c>
      <c r="AY4" s="1" t="s">
        <v>367</v>
      </c>
    </row>
    <row r="5" spans="1:51">
      <c r="K5" s="1" t="s">
        <v>395</v>
      </c>
      <c r="L5" s="143">
        <v>10000000</v>
      </c>
      <c r="M5" s="143">
        <v>10000000</v>
      </c>
      <c r="N5" s="143">
        <v>10000000</v>
      </c>
      <c r="O5" s="143">
        <v>10000000</v>
      </c>
      <c r="P5" s="143">
        <v>10000000</v>
      </c>
      <c r="Q5" s="143">
        <v>10000000</v>
      </c>
      <c r="R5" s="143">
        <v>10000000</v>
      </c>
      <c r="S5" s="33">
        <v>10000000</v>
      </c>
      <c r="T5" s="33">
        <v>15000000</v>
      </c>
      <c r="U5" s="33">
        <v>20000000</v>
      </c>
      <c r="AX5" s="1" t="s">
        <v>366</v>
      </c>
    </row>
    <row r="6" spans="1:51">
      <c r="A6" s="27" t="s">
        <v>81</v>
      </c>
      <c r="B6" s="27"/>
      <c r="C6" s="27"/>
      <c r="D6" s="27"/>
      <c r="E6" s="27"/>
      <c r="F6" s="27"/>
      <c r="K6" s="1" t="s">
        <v>396</v>
      </c>
      <c r="L6" s="30">
        <v>0.15</v>
      </c>
      <c r="M6" s="30">
        <v>0.1</v>
      </c>
      <c r="N6" s="30">
        <v>0.11</v>
      </c>
      <c r="O6" s="30">
        <v>0.12</v>
      </c>
      <c r="P6" s="30">
        <v>0.13</v>
      </c>
      <c r="Q6" s="30">
        <v>0.14000000000000001</v>
      </c>
      <c r="R6" s="30">
        <v>0.15</v>
      </c>
      <c r="S6" s="32">
        <v>0.15</v>
      </c>
      <c r="T6" s="32">
        <v>0.1</v>
      </c>
      <c r="U6" s="32">
        <v>0.13</v>
      </c>
      <c r="AX6" s="1" t="s">
        <v>368</v>
      </c>
    </row>
    <row r="7" spans="1:51" ht="15.75" customHeight="1">
      <c r="A7" s="27" t="s">
        <v>82</v>
      </c>
      <c r="B7" s="27"/>
      <c r="C7" s="27"/>
      <c r="D7" s="27"/>
      <c r="E7" s="27"/>
      <c r="F7" s="27"/>
      <c r="K7" s="1" t="s">
        <v>397</v>
      </c>
      <c r="L7" s="144">
        <v>1209466.8471520101</v>
      </c>
      <c r="M7" s="144">
        <v>1209466.8471520117</v>
      </c>
      <c r="N7" s="144">
        <v>1209466.8471520117</v>
      </c>
      <c r="O7" s="144">
        <v>1209466.8471520117</v>
      </c>
      <c r="P7" s="144">
        <v>1209466.8471520117</v>
      </c>
      <c r="Q7" s="144">
        <v>1209466.8471520117</v>
      </c>
      <c r="R7" s="144">
        <v>1209466.8471520117</v>
      </c>
      <c r="S7" s="33">
        <v>1500000</v>
      </c>
      <c r="T7" s="33">
        <v>2000000</v>
      </c>
      <c r="U7" s="33">
        <v>4000000</v>
      </c>
      <c r="AX7" s="1" t="s">
        <v>369</v>
      </c>
    </row>
    <row r="8" spans="1:51">
      <c r="A8" s="1" t="s">
        <v>83</v>
      </c>
      <c r="K8" s="1" t="s">
        <v>398</v>
      </c>
      <c r="L8" s="30">
        <v>0.1</v>
      </c>
      <c r="M8" s="30">
        <v>0.1</v>
      </c>
      <c r="N8" s="30">
        <v>0.1</v>
      </c>
      <c r="O8" s="30">
        <v>0.1</v>
      </c>
      <c r="P8" s="30">
        <v>0.1</v>
      </c>
      <c r="Q8" s="30">
        <v>0.1</v>
      </c>
      <c r="R8" s="30">
        <v>0.1</v>
      </c>
      <c r="S8" s="32">
        <v>0.1</v>
      </c>
      <c r="T8" s="32">
        <v>0.08</v>
      </c>
      <c r="U8" s="32">
        <v>7.0000000000000007E-2</v>
      </c>
      <c r="AX8" s="1" t="s">
        <v>370</v>
      </c>
    </row>
    <row r="9" spans="1:51">
      <c r="A9" s="28" t="s">
        <v>84</v>
      </c>
      <c r="AX9" s="1" t="s">
        <v>371</v>
      </c>
    </row>
    <row r="10" spans="1:51" ht="15.75" customHeight="1">
      <c r="A10" s="27" t="s">
        <v>85</v>
      </c>
      <c r="B10" s="27"/>
      <c r="C10" s="27"/>
      <c r="D10" s="27"/>
      <c r="E10" s="27"/>
      <c r="F10" s="27"/>
      <c r="K10" s="1" t="s">
        <v>399</v>
      </c>
      <c r="AX10" s="1" t="s">
        <v>372</v>
      </c>
    </row>
    <row r="11" spans="1:51">
      <c r="A11" s="92"/>
      <c r="B11" s="92"/>
      <c r="C11" s="92"/>
      <c r="D11" s="92"/>
      <c r="E11" s="92"/>
      <c r="F11" s="29" t="s">
        <v>86</v>
      </c>
      <c r="K11" s="1">
        <v>1</v>
      </c>
      <c r="L11" s="143">
        <f>L7</f>
        <v>1209466.8471520101</v>
      </c>
      <c r="M11" s="143">
        <f t="shared" ref="M11:Q11" si="0">M7</f>
        <v>1209466.8471520117</v>
      </c>
      <c r="N11" s="143">
        <f t="shared" si="0"/>
        <v>1209466.8471520117</v>
      </c>
      <c r="O11" s="143">
        <f t="shared" si="0"/>
        <v>1209466.8471520117</v>
      </c>
      <c r="P11" s="143">
        <f t="shared" si="0"/>
        <v>1209466.8471520117</v>
      </c>
      <c r="Q11" s="143">
        <f t="shared" si="0"/>
        <v>1209466.8471520117</v>
      </c>
      <c r="R11" s="143">
        <f>R7</f>
        <v>1209466.8471520117</v>
      </c>
      <c r="S11" s="143">
        <f t="shared" ref="S11:U11" si="1">S7</f>
        <v>1500000</v>
      </c>
      <c r="T11" s="143">
        <f t="shared" si="1"/>
        <v>2000000</v>
      </c>
      <c r="U11" s="143">
        <f t="shared" si="1"/>
        <v>4000000</v>
      </c>
      <c r="AX11" s="1" t="s">
        <v>373</v>
      </c>
    </row>
    <row r="12" spans="1:51">
      <c r="A12" s="27" t="s">
        <v>87</v>
      </c>
      <c r="B12" s="92"/>
      <c r="C12" s="92"/>
      <c r="D12" s="92"/>
      <c r="E12" s="92"/>
      <c r="F12" s="29"/>
      <c r="K12" s="1">
        <v>2</v>
      </c>
      <c r="L12" s="143">
        <f>(100%+L$8)*L11</f>
        <v>1330413.5318672112</v>
      </c>
      <c r="M12" s="143">
        <f>(100%+M$8)*M11</f>
        <v>1330413.5318672131</v>
      </c>
      <c r="N12" s="143">
        <f t="shared" ref="N12:R12" si="2">(100%+N$8)*N11</f>
        <v>1330413.5318672131</v>
      </c>
      <c r="O12" s="143">
        <f t="shared" si="2"/>
        <v>1330413.5318672131</v>
      </c>
      <c r="P12" s="143">
        <f t="shared" si="2"/>
        <v>1330413.5318672131</v>
      </c>
      <c r="Q12" s="143">
        <f t="shared" si="2"/>
        <v>1330413.5318672131</v>
      </c>
      <c r="R12" s="143">
        <f t="shared" si="2"/>
        <v>1330413.5318672131</v>
      </c>
      <c r="S12" s="143">
        <f t="shared" ref="S12:S22" si="3">(100%+S$8)*S11</f>
        <v>1650000.0000000002</v>
      </c>
      <c r="T12" s="143">
        <f t="shared" ref="T12:T22" si="4">(100%+T$8)*T11</f>
        <v>2160000</v>
      </c>
      <c r="U12" s="143">
        <f t="shared" ref="U12:U22" si="5">(100%+U$8)*U11</f>
        <v>4280000</v>
      </c>
      <c r="AX12" s="1" t="s">
        <v>374</v>
      </c>
    </row>
    <row r="13" spans="1:51">
      <c r="A13" s="27" t="s">
        <v>256</v>
      </c>
      <c r="B13" s="92"/>
      <c r="C13" s="92"/>
      <c r="D13" s="92"/>
      <c r="E13" s="92"/>
      <c r="F13" s="29"/>
      <c r="K13" s="1">
        <v>3</v>
      </c>
      <c r="L13" s="143">
        <f t="shared" ref="L13:L21" si="6">(100%+L$8)*L12</f>
        <v>1463454.8850539324</v>
      </c>
      <c r="M13" s="143">
        <f t="shared" ref="M13:M22" si="7">(100%+M$8)*M12</f>
        <v>1463454.8850539345</v>
      </c>
      <c r="N13" s="143">
        <f t="shared" ref="N13:N22" si="8">(100%+N$8)*N12</f>
        <v>1463454.8850539345</v>
      </c>
      <c r="O13" s="143">
        <f t="shared" ref="O13:O22" si="9">(100%+O$8)*O12</f>
        <v>1463454.8850539345</v>
      </c>
      <c r="P13" s="143">
        <f t="shared" ref="P13:P22" si="10">(100%+P$8)*P12</f>
        <v>1463454.8850539345</v>
      </c>
      <c r="Q13" s="143">
        <f t="shared" ref="Q13:Q22" si="11">(100%+Q$8)*Q12</f>
        <v>1463454.8850539345</v>
      </c>
      <c r="R13" s="143">
        <f t="shared" ref="R13:R22" si="12">(100%+R$8)*R12</f>
        <v>1463454.8850539345</v>
      </c>
      <c r="S13" s="143">
        <f t="shared" si="3"/>
        <v>1815000.0000000005</v>
      </c>
      <c r="T13" s="143">
        <f t="shared" si="4"/>
        <v>2332800</v>
      </c>
      <c r="U13" s="143">
        <f t="shared" si="5"/>
        <v>4579600</v>
      </c>
      <c r="AX13" s="1" t="s">
        <v>375</v>
      </c>
    </row>
    <row r="14" spans="1:51" ht="15.75" customHeight="1">
      <c r="A14" s="73"/>
      <c r="B14" s="73"/>
      <c r="C14" s="73"/>
      <c r="D14" s="73"/>
      <c r="E14" s="73"/>
      <c r="F14" s="73"/>
      <c r="K14" s="1">
        <v>4</v>
      </c>
      <c r="L14" s="143">
        <f t="shared" si="6"/>
        <v>1609800.3735593257</v>
      </c>
      <c r="M14" s="143">
        <f t="shared" si="7"/>
        <v>1609800.373559328</v>
      </c>
      <c r="N14" s="143">
        <f t="shared" si="8"/>
        <v>1609800.373559328</v>
      </c>
      <c r="O14" s="143">
        <f t="shared" si="9"/>
        <v>1609800.373559328</v>
      </c>
      <c r="P14" s="143">
        <f t="shared" si="10"/>
        <v>1609800.373559328</v>
      </c>
      <c r="Q14" s="143">
        <f t="shared" si="11"/>
        <v>1609800.373559328</v>
      </c>
      <c r="R14" s="143">
        <f t="shared" si="12"/>
        <v>1609800.373559328</v>
      </c>
      <c r="S14" s="143">
        <f t="shared" si="3"/>
        <v>1996500.0000000007</v>
      </c>
      <c r="T14" s="143">
        <f t="shared" si="4"/>
        <v>2519424</v>
      </c>
      <c r="U14" s="143">
        <f t="shared" si="5"/>
        <v>4900172</v>
      </c>
      <c r="AX14" s="1" t="s">
        <v>376</v>
      </c>
    </row>
    <row r="15" spans="1:51" ht="15.75" customHeight="1">
      <c r="A15" s="73"/>
      <c r="B15" s="73" t="s">
        <v>88</v>
      </c>
      <c r="C15" s="73" t="s">
        <v>89</v>
      </c>
      <c r="D15" s="73" t="s">
        <v>90</v>
      </c>
      <c r="E15" s="73" t="s">
        <v>91</v>
      </c>
      <c r="F15" s="73" t="s">
        <v>92</v>
      </c>
      <c r="K15" s="1">
        <v>5</v>
      </c>
      <c r="L15" s="143">
        <f t="shared" si="6"/>
        <v>1770780.4109152583</v>
      </c>
      <c r="M15" s="143">
        <f t="shared" si="7"/>
        <v>1770780.4109152609</v>
      </c>
      <c r="N15" s="143">
        <f t="shared" si="8"/>
        <v>1770780.4109152609</v>
      </c>
      <c r="O15" s="143">
        <f t="shared" si="9"/>
        <v>1770780.4109152609</v>
      </c>
      <c r="P15" s="143">
        <f t="shared" si="10"/>
        <v>1770780.4109152609</v>
      </c>
      <c r="Q15" s="143">
        <f t="shared" si="11"/>
        <v>1770780.4109152609</v>
      </c>
      <c r="R15" s="143">
        <f t="shared" si="12"/>
        <v>1770780.4109152609</v>
      </c>
      <c r="S15" s="143">
        <f t="shared" si="3"/>
        <v>2196150.0000000009</v>
      </c>
      <c r="T15" s="143">
        <f t="shared" si="4"/>
        <v>2720977.9200000004</v>
      </c>
      <c r="U15" s="143">
        <f t="shared" si="5"/>
        <v>5243184.04</v>
      </c>
      <c r="AX15" s="1" t="s">
        <v>377</v>
      </c>
    </row>
    <row r="16" spans="1:51" ht="15.75" customHeight="1">
      <c r="A16" s="73"/>
      <c r="B16" s="73"/>
      <c r="C16" s="73"/>
      <c r="D16" s="73" t="s">
        <v>93</v>
      </c>
      <c r="E16" s="73" t="s">
        <v>93</v>
      </c>
      <c r="F16" s="73"/>
      <c r="K16" s="1">
        <v>6</v>
      </c>
      <c r="L16" s="143">
        <f t="shared" si="6"/>
        <v>1947858.4520067843</v>
      </c>
      <c r="M16" s="143">
        <f t="shared" si="7"/>
        <v>1947858.4520067871</v>
      </c>
      <c r="N16" s="143">
        <f t="shared" si="8"/>
        <v>1947858.4520067871</v>
      </c>
      <c r="O16" s="143">
        <f t="shared" si="9"/>
        <v>1947858.4520067871</v>
      </c>
      <c r="P16" s="143">
        <f t="shared" si="10"/>
        <v>1947858.4520067871</v>
      </c>
      <c r="Q16" s="143">
        <f t="shared" si="11"/>
        <v>1947858.4520067871</v>
      </c>
      <c r="R16" s="143">
        <f t="shared" si="12"/>
        <v>1947858.4520067871</v>
      </c>
      <c r="S16" s="143">
        <f t="shared" si="3"/>
        <v>2415765.0000000014</v>
      </c>
      <c r="T16" s="143">
        <f t="shared" si="4"/>
        <v>2938656.1536000008</v>
      </c>
      <c r="U16" s="143">
        <f t="shared" si="5"/>
        <v>5610206.9228000008</v>
      </c>
    </row>
    <row r="17" spans="1:21" ht="15.75" customHeight="1">
      <c r="B17" s="31" t="s">
        <v>94</v>
      </c>
      <c r="C17" s="32">
        <v>0.15</v>
      </c>
      <c r="D17" s="33">
        <v>10000000</v>
      </c>
      <c r="E17" s="33">
        <v>1500000</v>
      </c>
      <c r="F17" s="32">
        <v>0.1</v>
      </c>
      <c r="K17" s="1">
        <v>7</v>
      </c>
      <c r="L17" s="143">
        <f t="shared" si="6"/>
        <v>2142644.2972074631</v>
      </c>
      <c r="M17" s="143">
        <f t="shared" si="7"/>
        <v>2142644.2972074659</v>
      </c>
      <c r="N17" s="143">
        <f t="shared" si="8"/>
        <v>2142644.2972074659</v>
      </c>
      <c r="O17" s="143">
        <f t="shared" si="9"/>
        <v>2142644.2972074659</v>
      </c>
      <c r="P17" s="143">
        <f t="shared" si="10"/>
        <v>2142644.2972074659</v>
      </c>
      <c r="Q17" s="143">
        <f t="shared" si="11"/>
        <v>2142644.2972074659</v>
      </c>
      <c r="R17" s="143">
        <f t="shared" si="12"/>
        <v>2142644.2972074659</v>
      </c>
      <c r="S17" s="143">
        <f t="shared" si="3"/>
        <v>2657341.5000000019</v>
      </c>
      <c r="T17" s="143">
        <f t="shared" si="4"/>
        <v>3173748.6458880012</v>
      </c>
      <c r="U17" s="143">
        <f t="shared" si="5"/>
        <v>6002921.4073960008</v>
      </c>
    </row>
    <row r="18" spans="1:21">
      <c r="B18" s="31" t="s">
        <v>95</v>
      </c>
      <c r="C18" s="32">
        <v>0.1</v>
      </c>
      <c r="D18" s="33">
        <v>15000000</v>
      </c>
      <c r="E18" s="33">
        <v>2000000</v>
      </c>
      <c r="F18" s="32">
        <v>0.08</v>
      </c>
      <c r="K18" s="1">
        <v>8</v>
      </c>
      <c r="L18" s="143">
        <f t="shared" si="6"/>
        <v>2356908.7269282094</v>
      </c>
      <c r="M18" s="143">
        <f t="shared" si="7"/>
        <v>2356908.7269282127</v>
      </c>
      <c r="N18" s="143">
        <f t="shared" si="8"/>
        <v>2356908.7269282127</v>
      </c>
      <c r="O18" s="143">
        <f t="shared" si="9"/>
        <v>2356908.7269282127</v>
      </c>
      <c r="P18" s="143">
        <f t="shared" si="10"/>
        <v>2356908.7269282127</v>
      </c>
      <c r="Q18" s="143">
        <f t="shared" si="11"/>
        <v>2356908.7269282127</v>
      </c>
      <c r="R18" s="143">
        <f t="shared" si="12"/>
        <v>2356908.7269282127</v>
      </c>
      <c r="S18" s="143">
        <f t="shared" si="3"/>
        <v>2923075.6500000022</v>
      </c>
      <c r="T18" s="143">
        <f t="shared" si="4"/>
        <v>3427648.5375590413</v>
      </c>
      <c r="U18" s="143">
        <f t="shared" si="5"/>
        <v>6423125.9059137208</v>
      </c>
    </row>
    <row r="19" spans="1:21" ht="30" customHeight="1">
      <c r="B19" s="31" t="s">
        <v>96</v>
      </c>
      <c r="C19" s="32">
        <v>0.13</v>
      </c>
      <c r="D19" s="33">
        <v>20000000</v>
      </c>
      <c r="E19" s="33">
        <v>4000000</v>
      </c>
      <c r="F19" s="32">
        <v>7.0000000000000007E-2</v>
      </c>
      <c r="K19" s="1">
        <v>9</v>
      </c>
      <c r="L19" s="143">
        <f t="shared" si="6"/>
        <v>2592599.5996210305</v>
      </c>
      <c r="M19" s="143">
        <f t="shared" si="7"/>
        <v>2592599.5996210342</v>
      </c>
      <c r="N19" s="143">
        <f t="shared" si="8"/>
        <v>2592599.5996210342</v>
      </c>
      <c r="O19" s="143">
        <f t="shared" si="9"/>
        <v>2592599.5996210342</v>
      </c>
      <c r="P19" s="143">
        <f t="shared" si="10"/>
        <v>2592599.5996210342</v>
      </c>
      <c r="Q19" s="143">
        <f t="shared" si="11"/>
        <v>2592599.5996210342</v>
      </c>
      <c r="R19" s="143">
        <f t="shared" si="12"/>
        <v>2592599.5996210342</v>
      </c>
      <c r="S19" s="143">
        <f t="shared" si="3"/>
        <v>3215383.2150000026</v>
      </c>
      <c r="T19" s="143">
        <f t="shared" si="4"/>
        <v>3701860.4205637649</v>
      </c>
      <c r="U19" s="143">
        <f t="shared" si="5"/>
        <v>6872744.7193276817</v>
      </c>
    </row>
    <row r="20" spans="1:21">
      <c r="K20" s="1">
        <v>10</v>
      </c>
      <c r="L20" s="143">
        <f t="shared" si="6"/>
        <v>2851859.5595831336</v>
      </c>
      <c r="M20" s="143">
        <f t="shared" si="7"/>
        <v>2851859.5595831377</v>
      </c>
      <c r="N20" s="143">
        <f t="shared" si="8"/>
        <v>2851859.5595831377</v>
      </c>
      <c r="O20" s="143">
        <f t="shared" si="9"/>
        <v>2851859.5595831377</v>
      </c>
      <c r="P20" s="143">
        <f t="shared" si="10"/>
        <v>2851859.5595831377</v>
      </c>
      <c r="Q20" s="143">
        <f t="shared" si="11"/>
        <v>2851859.5595831377</v>
      </c>
      <c r="R20" s="143">
        <f t="shared" si="12"/>
        <v>2851859.5595831377</v>
      </c>
      <c r="S20" s="143">
        <f t="shared" si="3"/>
        <v>3536921.5365000032</v>
      </c>
      <c r="T20" s="143">
        <f t="shared" si="4"/>
        <v>3998009.2542088665</v>
      </c>
      <c r="U20" s="143">
        <f t="shared" si="5"/>
        <v>7353836.8496806202</v>
      </c>
    </row>
    <row r="21" spans="1:21" ht="15.5" customHeight="1">
      <c r="A21" s="72" t="s">
        <v>97</v>
      </c>
      <c r="B21" s="72"/>
      <c r="C21" s="72"/>
      <c r="D21" s="72"/>
      <c r="E21" s="72"/>
      <c r="F21" s="72"/>
      <c r="K21" s="1">
        <v>11</v>
      </c>
      <c r="L21" s="143">
        <f t="shared" si="6"/>
        <v>3137045.5155414473</v>
      </c>
      <c r="M21" s="143">
        <f t="shared" si="7"/>
        <v>3137045.515541452</v>
      </c>
      <c r="N21" s="143">
        <f t="shared" si="8"/>
        <v>3137045.515541452</v>
      </c>
      <c r="O21" s="143">
        <f t="shared" si="9"/>
        <v>3137045.515541452</v>
      </c>
      <c r="P21" s="143">
        <f t="shared" si="10"/>
        <v>3137045.515541452</v>
      </c>
      <c r="Q21" s="143">
        <f t="shared" si="11"/>
        <v>3137045.515541452</v>
      </c>
      <c r="R21" s="143">
        <f t="shared" si="12"/>
        <v>3137045.515541452</v>
      </c>
      <c r="S21" s="143">
        <f t="shared" si="3"/>
        <v>3890613.6901500039</v>
      </c>
      <c r="T21" s="143">
        <f t="shared" si="4"/>
        <v>4317849.9945455762</v>
      </c>
      <c r="U21" s="143">
        <f t="shared" si="5"/>
        <v>7868605.4291582638</v>
      </c>
    </row>
    <row r="22" spans="1:21">
      <c r="K22" s="1">
        <v>12</v>
      </c>
      <c r="L22" s="143">
        <f>(100%+L$8)*L21</f>
        <v>3450750.0670955922</v>
      </c>
      <c r="M22" s="143">
        <f t="shared" si="7"/>
        <v>3450750.0670955973</v>
      </c>
      <c r="N22" s="143">
        <f t="shared" si="8"/>
        <v>3450750.0670955973</v>
      </c>
      <c r="O22" s="143">
        <f t="shared" si="9"/>
        <v>3450750.0670955973</v>
      </c>
      <c r="P22" s="143">
        <f t="shared" si="10"/>
        <v>3450750.0670955973</v>
      </c>
      <c r="Q22" s="143">
        <f t="shared" si="11"/>
        <v>3450750.0670955973</v>
      </c>
      <c r="R22" s="143">
        <f t="shared" si="12"/>
        <v>3450750.0670955973</v>
      </c>
      <c r="S22" s="143">
        <f t="shared" si="3"/>
        <v>4279675.0591650046</v>
      </c>
      <c r="T22" s="143">
        <f t="shared" si="4"/>
        <v>4663277.9941092227</v>
      </c>
      <c r="U22" s="143">
        <f t="shared" si="5"/>
        <v>8419407.8091993425</v>
      </c>
    </row>
    <row r="24" spans="1:21">
      <c r="K24" s="1" t="s">
        <v>368</v>
      </c>
      <c r="L24" s="143">
        <f>NPV(L6,L11:L22)-L5</f>
        <v>0</v>
      </c>
      <c r="M24" s="143">
        <f t="shared" ref="M24:R24" si="13">NPV(M6,M11:M22)-M5</f>
        <v>3194183.7871128526</v>
      </c>
      <c r="N24" s="143">
        <f t="shared" si="13"/>
        <v>2446508.1761928368</v>
      </c>
      <c r="O24" s="143">
        <f t="shared" si="13"/>
        <v>1758654.6764317472</v>
      </c>
      <c r="P24" s="143">
        <f t="shared" si="13"/>
        <v>1124921.7861074153</v>
      </c>
      <c r="Q24" s="143">
        <f t="shared" si="13"/>
        <v>540220.04622955248</v>
      </c>
      <c r="R24" s="143">
        <f t="shared" si="13"/>
        <v>0</v>
      </c>
      <c r="S24" s="143">
        <f t="shared" ref="S24:U24" si="14">NPV(S6,S11:S22)-S5</f>
        <v>2402158.8812634349</v>
      </c>
      <c r="T24" s="143">
        <f t="shared" si="14"/>
        <v>4763339.6544184089</v>
      </c>
      <c r="U24" s="143">
        <f t="shared" si="14"/>
        <v>12027075.998876359</v>
      </c>
    </row>
    <row r="25" spans="1:21" ht="15.75" customHeight="1">
      <c r="A25" s="27" t="s">
        <v>98</v>
      </c>
      <c r="B25" s="27"/>
      <c r="C25" s="27"/>
      <c r="D25" s="27"/>
      <c r="E25" s="27"/>
      <c r="F25" s="27"/>
    </row>
    <row r="26" spans="1:21">
      <c r="A26" s="1" t="s">
        <v>99</v>
      </c>
    </row>
    <row r="27" spans="1:21">
      <c r="A27" s="1" t="s">
        <v>100</v>
      </c>
      <c r="L27" s="1" t="s">
        <v>375</v>
      </c>
    </row>
    <row r="28" spans="1:21">
      <c r="A28" s="28" t="s">
        <v>101</v>
      </c>
      <c r="N28" s="145">
        <f>L24</f>
        <v>0</v>
      </c>
    </row>
    <row r="29" spans="1:21">
      <c r="A29" s="27" t="s">
        <v>102</v>
      </c>
      <c r="B29" s="27"/>
      <c r="C29" s="27"/>
      <c r="D29" s="27"/>
      <c r="E29" s="27"/>
      <c r="F29" s="27"/>
      <c r="M29" s="30">
        <v>0.1</v>
      </c>
      <c r="N29" s="143">
        <f t="dataTable" ref="N29:N34" dt2D="0" dtr="0" r1="L6"/>
        <v>3194183.7871128321</v>
      </c>
    </row>
    <row r="30" spans="1:21">
      <c r="A30" s="34" t="s">
        <v>104</v>
      </c>
      <c r="M30" s="30">
        <v>0.11</v>
      </c>
      <c r="N30" s="143">
        <v>2446508.1761928201</v>
      </c>
    </row>
    <row r="31" spans="1:21">
      <c r="A31" s="93"/>
      <c r="B31" s="25" t="s">
        <v>14</v>
      </c>
      <c r="C31" s="25" t="s">
        <v>105</v>
      </c>
      <c r="D31" s="25" t="s">
        <v>16</v>
      </c>
      <c r="E31" s="93"/>
      <c r="M31" s="30">
        <v>0.12</v>
      </c>
      <c r="N31" s="143">
        <v>1758654.6764317323</v>
      </c>
    </row>
    <row r="32" spans="1:21">
      <c r="A32" s="93"/>
      <c r="B32" s="93" t="s">
        <v>17</v>
      </c>
      <c r="C32" s="93">
        <v>15</v>
      </c>
      <c r="D32" s="93" t="s">
        <v>18</v>
      </c>
      <c r="E32" s="93"/>
      <c r="M32" s="30">
        <v>0.13</v>
      </c>
      <c r="N32" s="143">
        <v>1124921.7861073967</v>
      </c>
    </row>
    <row r="33" spans="1:20">
      <c r="A33" s="93"/>
      <c r="B33" s="93"/>
      <c r="C33" s="93"/>
      <c r="D33" s="93"/>
      <c r="E33" s="93"/>
      <c r="M33" s="30">
        <v>0.14000000000000001</v>
      </c>
      <c r="N33" s="143">
        <v>540220.04622953944</v>
      </c>
    </row>
    <row r="34" spans="1:20">
      <c r="A34" s="93"/>
      <c r="B34" s="93"/>
      <c r="C34" s="93"/>
      <c r="D34" s="93"/>
      <c r="E34" s="93"/>
      <c r="M34" s="30">
        <v>0.15</v>
      </c>
      <c r="N34" s="143">
        <v>0</v>
      </c>
    </row>
    <row r="35" spans="1:20">
      <c r="A35" s="93"/>
      <c r="B35" s="93" t="s">
        <v>19</v>
      </c>
      <c r="C35" s="93">
        <v>18</v>
      </c>
      <c r="D35" s="93" t="s">
        <v>20</v>
      </c>
      <c r="E35" s="93"/>
    </row>
    <row r="36" spans="1:20" ht="16" thickBot="1">
      <c r="A36" s="93"/>
      <c r="B36" s="93" t="s">
        <v>21</v>
      </c>
      <c r="C36" s="93">
        <v>13</v>
      </c>
      <c r="D36" s="93" t="s">
        <v>22</v>
      </c>
      <c r="E36" s="93"/>
    </row>
    <row r="37" spans="1:20">
      <c r="A37" s="93"/>
      <c r="B37" s="93"/>
      <c r="C37" s="93"/>
      <c r="D37" s="93"/>
      <c r="E37" s="93"/>
      <c r="K37" s="151" t="s">
        <v>415</v>
      </c>
      <c r="L37" s="151"/>
      <c r="M37" s="156"/>
      <c r="N37" s="156"/>
      <c r="O37" s="156"/>
      <c r="P37" s="156"/>
      <c r="Q37" s="156"/>
      <c r="R37" s="156"/>
      <c r="S37" s="156"/>
      <c r="T37" s="156"/>
    </row>
    <row r="38" spans="1:20">
      <c r="A38" s="1" t="s">
        <v>106</v>
      </c>
      <c r="K38" s="150"/>
      <c r="L38" s="150"/>
      <c r="M38" s="157" t="s">
        <v>417</v>
      </c>
      <c r="N38" s="157" t="s">
        <v>406</v>
      </c>
      <c r="O38" s="157" t="s">
        <v>408</v>
      </c>
      <c r="P38" s="157" t="s">
        <v>409</v>
      </c>
      <c r="Q38" s="157" t="s">
        <v>411</v>
      </c>
      <c r="R38" s="157" t="s">
        <v>412</v>
      </c>
      <c r="S38" s="157" t="s">
        <v>413</v>
      </c>
      <c r="T38" s="157" t="s">
        <v>414</v>
      </c>
    </row>
    <row r="39" spans="1:20" ht="14.5" customHeight="1">
      <c r="F39" s="36" t="s">
        <v>107</v>
      </c>
      <c r="K39" s="153"/>
      <c r="L39" s="153"/>
      <c r="M39" s="146"/>
      <c r="N39" s="160" t="s">
        <v>407</v>
      </c>
      <c r="O39" s="160" t="s">
        <v>407</v>
      </c>
      <c r="P39" s="160" t="s">
        <v>410</v>
      </c>
      <c r="Q39" s="160" t="s">
        <v>407</v>
      </c>
      <c r="R39" s="160" t="s">
        <v>407</v>
      </c>
      <c r="S39" s="160" t="s">
        <v>407</v>
      </c>
      <c r="T39" s="160" t="s">
        <v>407</v>
      </c>
    </row>
    <row r="40" spans="1:20">
      <c r="K40" s="154" t="s">
        <v>416</v>
      </c>
      <c r="L40" s="154"/>
      <c r="M40" s="152"/>
      <c r="N40" s="152"/>
      <c r="O40" s="152"/>
      <c r="P40" s="152"/>
      <c r="Q40" s="152"/>
      <c r="R40" s="152"/>
      <c r="S40" s="152"/>
      <c r="T40" s="152"/>
    </row>
    <row r="41" spans="1:20">
      <c r="K41" s="153"/>
      <c r="L41" s="1" t="s">
        <v>395</v>
      </c>
      <c r="M41" s="147">
        <v>10000000</v>
      </c>
      <c r="N41" s="158">
        <v>10000000</v>
      </c>
      <c r="O41" s="158">
        <v>10000000</v>
      </c>
      <c r="P41" s="158">
        <v>10000000</v>
      </c>
      <c r="Q41" s="158">
        <v>10000000</v>
      </c>
      <c r="R41" s="158">
        <v>10000000</v>
      </c>
      <c r="S41" s="158">
        <v>10000000</v>
      </c>
      <c r="T41" s="158">
        <v>10000000</v>
      </c>
    </row>
    <row r="42" spans="1:20">
      <c r="K42" s="153"/>
      <c r="L42" s="1" t="s">
        <v>396</v>
      </c>
      <c r="M42" s="148">
        <v>0.15</v>
      </c>
      <c r="N42" s="159">
        <v>0.15</v>
      </c>
      <c r="O42" s="159">
        <v>0.1</v>
      </c>
      <c r="P42" s="159">
        <v>0.11</v>
      </c>
      <c r="Q42" s="159">
        <v>0.13</v>
      </c>
      <c r="R42" s="159">
        <v>0.14000000000000001</v>
      </c>
      <c r="S42" s="159">
        <v>0.15</v>
      </c>
      <c r="T42" s="159">
        <v>0.12</v>
      </c>
    </row>
    <row r="43" spans="1:20">
      <c r="K43" s="153"/>
      <c r="L43" s="1" t="s">
        <v>397</v>
      </c>
      <c r="M43" s="147">
        <v>1209466.8471520101</v>
      </c>
      <c r="N43" s="158">
        <v>1209466.8471520101</v>
      </c>
      <c r="O43" s="158">
        <v>1209466.8471520101</v>
      </c>
      <c r="P43" s="158">
        <v>1209466.8471520101</v>
      </c>
      <c r="Q43" s="158">
        <v>1209466.8471520101</v>
      </c>
      <c r="R43" s="158">
        <v>1209466.8471520101</v>
      </c>
      <c r="S43" s="158">
        <v>1209466.8471520101</v>
      </c>
      <c r="T43" s="158">
        <v>1209466.8471520101</v>
      </c>
    </row>
    <row r="44" spans="1:20">
      <c r="K44" s="153"/>
      <c r="L44" s="1" t="s">
        <v>398</v>
      </c>
      <c r="M44" s="148">
        <v>0.1</v>
      </c>
      <c r="N44" s="159">
        <v>0.1</v>
      </c>
      <c r="O44" s="159">
        <v>0.1</v>
      </c>
      <c r="P44" s="159">
        <v>0.1</v>
      </c>
      <c r="Q44" s="159">
        <v>0.1</v>
      </c>
      <c r="R44" s="159">
        <v>0.1</v>
      </c>
      <c r="S44" s="159">
        <v>0.1</v>
      </c>
      <c r="T44" s="159">
        <v>0.1</v>
      </c>
    </row>
    <row r="45" spans="1:20">
      <c r="K45" s="154" t="s">
        <v>418</v>
      </c>
      <c r="L45" s="154"/>
      <c r="M45" s="152"/>
      <c r="N45" s="152"/>
      <c r="O45" s="152"/>
      <c r="P45" s="152"/>
      <c r="Q45" s="152"/>
      <c r="R45" s="152"/>
      <c r="S45" s="152"/>
      <c r="T45" s="152"/>
    </row>
    <row r="46" spans="1:20" ht="16" thickBot="1">
      <c r="K46" s="155"/>
      <c r="L46" s="155" t="s">
        <v>368</v>
      </c>
      <c r="M46" s="149">
        <v>0</v>
      </c>
      <c r="N46" s="149">
        <v>0</v>
      </c>
      <c r="O46" s="149">
        <v>3194183.7871128302</v>
      </c>
      <c r="P46" s="149">
        <v>2446508.1761928201</v>
      </c>
      <c r="Q46" s="149">
        <v>1124921.7861074</v>
      </c>
      <c r="R46" s="149">
        <v>540220.04622953897</v>
      </c>
      <c r="S46" s="149">
        <v>0</v>
      </c>
      <c r="T46" s="149">
        <v>1758654.6764317299</v>
      </c>
    </row>
    <row r="47" spans="1:20">
      <c r="K47" t="s">
        <v>419</v>
      </c>
      <c r="L47"/>
      <c r="M47"/>
      <c r="N47"/>
      <c r="O47"/>
      <c r="P47"/>
      <c r="Q47"/>
      <c r="R47"/>
      <c r="S47"/>
      <c r="T47"/>
    </row>
    <row r="48" spans="1:20">
      <c r="K48" t="s">
        <v>420</v>
      </c>
      <c r="L48"/>
      <c r="M48"/>
      <c r="N48"/>
      <c r="O48"/>
      <c r="P48"/>
      <c r="Q48"/>
      <c r="R48"/>
      <c r="S48"/>
      <c r="T48"/>
    </row>
    <row r="49" spans="11:21">
      <c r="K49" t="s">
        <v>421</v>
      </c>
      <c r="L49"/>
      <c r="M49"/>
      <c r="N49"/>
      <c r="O49"/>
      <c r="P49"/>
      <c r="Q49"/>
      <c r="R49"/>
      <c r="S49"/>
      <c r="T49"/>
    </row>
    <row r="50" spans="11:21">
      <c r="K50"/>
      <c r="L50"/>
      <c r="M50"/>
      <c r="N50"/>
      <c r="O50"/>
      <c r="P50"/>
      <c r="Q50"/>
      <c r="R50"/>
      <c r="S50"/>
      <c r="T50"/>
    </row>
    <row r="53" spans="11:21">
      <c r="K53" s="1" t="s">
        <v>425</v>
      </c>
      <c r="L53" s="1" t="str">
        <f>L4</f>
        <v>BASE</v>
      </c>
      <c r="M53" s="1" t="str">
        <f t="shared" ref="M53:T53" si="15">M4</f>
        <v>SC10%</v>
      </c>
      <c r="N53" s="1" t="str">
        <f t="shared" si="15"/>
        <v>SC 11%</v>
      </c>
      <c r="O53" s="1" t="str">
        <f t="shared" si="15"/>
        <v>SC12%</v>
      </c>
      <c r="P53" s="1" t="str">
        <f t="shared" si="15"/>
        <v>SC 13%</v>
      </c>
      <c r="Q53" s="1" t="str">
        <f t="shared" si="15"/>
        <v>SC14%</v>
      </c>
      <c r="R53" s="1" t="str">
        <f t="shared" si="15"/>
        <v>SC 15%</v>
      </c>
      <c r="S53" s="1" t="str">
        <f t="shared" si="15"/>
        <v>Scenario 1</v>
      </c>
      <c r="T53" s="1" t="str">
        <f t="shared" si="15"/>
        <v>Scenario 2</v>
      </c>
      <c r="U53" s="1" t="str">
        <f>U4</f>
        <v>Scenario 3</v>
      </c>
    </row>
    <row r="54" spans="11:21">
      <c r="K54" s="1" t="s">
        <v>368</v>
      </c>
      <c r="L54" s="145">
        <f>L24</f>
        <v>0</v>
      </c>
      <c r="M54" s="145">
        <f t="shared" ref="M54:U54" si="16">M24</f>
        <v>3194183.7871128526</v>
      </c>
      <c r="N54" s="145">
        <f t="shared" si="16"/>
        <v>2446508.1761928368</v>
      </c>
      <c r="O54" s="145">
        <f t="shared" si="16"/>
        <v>1758654.6764317472</v>
      </c>
      <c r="P54" s="145">
        <f t="shared" si="16"/>
        <v>1124921.7861074153</v>
      </c>
      <c r="Q54" s="145">
        <f t="shared" si="16"/>
        <v>540220.04622955248</v>
      </c>
      <c r="R54" s="145">
        <f t="shared" si="16"/>
        <v>0</v>
      </c>
      <c r="S54" s="145">
        <f t="shared" si="16"/>
        <v>2402158.8812634349</v>
      </c>
      <c r="T54" s="145">
        <f t="shared" si="16"/>
        <v>4763339.6544184089</v>
      </c>
      <c r="U54" s="145">
        <f t="shared" si="16"/>
        <v>12027075.998876359</v>
      </c>
    </row>
  </sheetData>
  <scenarios current="5" show="5" sqref="L24">
    <scenario name="Base" locked="1" count="4" user="ADMIN" comment="Created by ADMIN on 28/10/2025">
      <inputCells r="L5" val="10000000" numFmtId="165"/>
      <inputCells r="L6" val="0.15" numFmtId="9"/>
      <inputCells r="L7" val="1209466.84715201" numFmtId="165"/>
      <inputCells r="L8" val="0.1" numFmtId="9"/>
    </scenario>
    <scenario name="SC1 10%" locked="1" count="4" user="ADMIN" comment="Created by ADMIN on 28/10/2025">
      <inputCells r="L5" val="10000000" numFmtId="165"/>
      <inputCells r="L6" val="0.1" numFmtId="9"/>
      <inputCells r="L7" val="1209466.84715201" numFmtId="165"/>
      <inputCells r="L8" val="0.1" numFmtId="9"/>
    </scenario>
    <scenario name="SC 11%" locked="1" count="4" user="ADMIN" comment="Created by ADMIN on 28/10/2025_x000a_Modified by ADMIN on 28/10/2025">
      <inputCells r="L5" val="10000000" numFmtId="165"/>
      <inputCells r="L6" val="0.11" numFmtId="9"/>
      <inputCells r="L7" val="1209466.84715201" numFmtId="165"/>
      <inputCells r="L8" val="0.1" numFmtId="9"/>
    </scenario>
    <scenario name="SC 13%" locked="1" count="4" user="ADMIN" comment="Created by ADMIN on 28/10/2025">
      <inputCells r="L5" val="10000000" numFmtId="165"/>
      <inputCells r="L6" val="0.13" numFmtId="9"/>
      <inputCells r="L7" val="1209466.84715201" numFmtId="165"/>
      <inputCells r="L8" val="0.1" numFmtId="9"/>
    </scenario>
    <scenario name="SC 14%" locked="1" count="4" user="ADMIN" comment="Created by ADMIN on 28/10/2025">
      <inputCells r="L5" val="10000000" numFmtId="165"/>
      <inputCells r="L6" val="0.14" numFmtId="9"/>
      <inputCells r="L7" val="1209466.84715201" numFmtId="165"/>
      <inputCells r="L8" val="0.1" numFmtId="9"/>
    </scenario>
    <scenario name="SC 15%" locked="1" count="4" user="ADMIN" comment="Created by ADMIN on 28/10/2025">
      <inputCells r="L5" val="10000000" numFmtId="165"/>
      <inputCells r="L6" val="0.15" numFmtId="9"/>
      <inputCells r="L7" val="1209466.84715201" numFmtId="165"/>
      <inputCells r="L8" val="0.1" numFmtId="9"/>
    </scenario>
    <scenario name="SC 12%" locked="1" count="4" user="ADMIN" comment="Created by ADMIN on 28/10/2025">
      <inputCells r="L5" val="10000000" numFmtId="165"/>
      <inputCells r="L6" val="0.12" numFmtId="9"/>
      <inputCells r="L7" val="1209466.84715201" numFmtId="165"/>
      <inputCells r="L8" val="0.1" numFmtId="9"/>
    </scenario>
  </scenario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50720-202A-44C1-83B1-1ED1D3796B32}">
  <dimension ref="A1:S98"/>
  <sheetViews>
    <sheetView topLeftCell="A36" workbookViewId="0">
      <selection activeCell="M6" sqref="M6:M9"/>
    </sheetView>
  </sheetViews>
  <sheetFormatPr defaultRowHeight="14.5"/>
  <cols>
    <col min="1" max="1" width="6.54296875" customWidth="1"/>
    <col min="3" max="3" width="30.26953125" customWidth="1"/>
    <col min="4" max="4" width="11.453125" customWidth="1"/>
    <col min="5" max="5" width="11.1796875" customWidth="1"/>
    <col min="7" max="7" width="30.453125" customWidth="1"/>
    <col min="8" max="8" width="15.08984375" customWidth="1"/>
    <col min="11" max="11" width="10.1796875" bestFit="1" customWidth="1"/>
    <col min="12" max="12" width="39.26953125" customWidth="1"/>
    <col min="13" max="13" width="16.26953125" bestFit="1" customWidth="1"/>
    <col min="14" max="14" width="15.26953125" bestFit="1" customWidth="1"/>
    <col min="15" max="15" width="20.26953125" customWidth="1"/>
    <col min="16" max="16" width="20.81640625" customWidth="1"/>
    <col min="17" max="17" width="21.453125" customWidth="1"/>
    <col min="18" max="18" width="12.54296875" customWidth="1"/>
  </cols>
  <sheetData>
    <row r="1" spans="1:18">
      <c r="A1" s="210" t="s">
        <v>77</v>
      </c>
      <c r="B1" s="210"/>
      <c r="C1" s="210"/>
      <c r="D1" s="210"/>
    </row>
    <row r="2" spans="1:18">
      <c r="A2" s="37" t="s">
        <v>108</v>
      </c>
      <c r="B2" s="38"/>
      <c r="C2" s="38"/>
      <c r="D2" s="38"/>
      <c r="M2" s="165">
        <v>0</v>
      </c>
      <c r="N2">
        <v>1</v>
      </c>
      <c r="O2">
        <v>2</v>
      </c>
      <c r="P2">
        <v>3</v>
      </c>
      <c r="Q2">
        <v>4</v>
      </c>
      <c r="R2">
        <v>5</v>
      </c>
    </row>
    <row r="3" spans="1:18">
      <c r="A3" s="39" t="s">
        <v>109</v>
      </c>
      <c r="B3" s="39"/>
      <c r="M3" s="165">
        <v>2022</v>
      </c>
      <c r="N3">
        <v>2023</v>
      </c>
      <c r="O3" s="165">
        <v>2024</v>
      </c>
      <c r="P3">
        <v>2025</v>
      </c>
      <c r="Q3" s="165">
        <v>2026</v>
      </c>
      <c r="R3">
        <v>2027</v>
      </c>
    </row>
    <row r="4" spans="1:18">
      <c r="A4" s="40" t="s">
        <v>110</v>
      </c>
      <c r="B4" s="39"/>
      <c r="L4" t="s">
        <v>439</v>
      </c>
      <c r="M4" s="166">
        <v>-100000000</v>
      </c>
      <c r="N4" s="94"/>
      <c r="O4" s="94"/>
      <c r="P4" s="94"/>
      <c r="Q4" s="94"/>
      <c r="R4" s="94"/>
    </row>
    <row r="5" spans="1:18">
      <c r="A5" s="40" t="s">
        <v>111</v>
      </c>
      <c r="L5" t="s">
        <v>440</v>
      </c>
      <c r="N5" s="94"/>
      <c r="O5" s="94"/>
      <c r="P5" s="94"/>
      <c r="Q5" s="94"/>
      <c r="R5" s="166">
        <v>20000000</v>
      </c>
    </row>
    <row r="6" spans="1:18">
      <c r="A6" s="40" t="s">
        <v>112</v>
      </c>
      <c r="L6" s="165" t="s">
        <v>120</v>
      </c>
      <c r="M6" s="46">
        <v>0.02</v>
      </c>
      <c r="N6" s="45">
        <v>5000</v>
      </c>
      <c r="O6" s="94">
        <f>(1+$M6)*N6</f>
        <v>5100</v>
      </c>
      <c r="P6" s="94">
        <f t="shared" ref="P6:Q6" si="0">(1+$M6)*O6</f>
        <v>5202</v>
      </c>
      <c r="Q6" s="94">
        <f t="shared" si="0"/>
        <v>5306.04</v>
      </c>
      <c r="R6" s="94">
        <f>(1+$M6)*Q6</f>
        <v>5412.1607999999997</v>
      </c>
    </row>
    <row r="7" spans="1:18">
      <c r="A7" s="41" t="s">
        <v>67</v>
      </c>
      <c r="L7" s="165" t="s">
        <v>121</v>
      </c>
      <c r="M7" s="46">
        <v>0.04</v>
      </c>
      <c r="N7" s="45">
        <v>2000</v>
      </c>
      <c r="O7" s="94">
        <f t="shared" ref="O7:R7" si="1">(1+$M7)*N7</f>
        <v>2080</v>
      </c>
      <c r="P7" s="94">
        <f t="shared" si="1"/>
        <v>2163.2000000000003</v>
      </c>
      <c r="Q7" s="94">
        <f t="shared" si="1"/>
        <v>2249.7280000000005</v>
      </c>
      <c r="R7" s="94">
        <f t="shared" si="1"/>
        <v>2339.7171200000007</v>
      </c>
    </row>
    <row r="8" spans="1:18">
      <c r="A8" s="40" t="s">
        <v>113</v>
      </c>
      <c r="L8" s="165" t="s">
        <v>122</v>
      </c>
      <c r="M8" s="46">
        <v>0.05</v>
      </c>
      <c r="N8" s="45">
        <v>1000</v>
      </c>
      <c r="O8" s="94">
        <f t="shared" ref="O8:R8" si="2">(1+$M8)*N8</f>
        <v>1050</v>
      </c>
      <c r="P8" s="94">
        <f t="shared" si="2"/>
        <v>1102.5</v>
      </c>
      <c r="Q8" s="94">
        <f t="shared" si="2"/>
        <v>1157.625</v>
      </c>
      <c r="R8" s="94">
        <f t="shared" si="2"/>
        <v>1215.5062500000001</v>
      </c>
    </row>
    <row r="9" spans="1:18">
      <c r="A9" s="40" t="s">
        <v>114</v>
      </c>
      <c r="L9" s="165" t="s">
        <v>123</v>
      </c>
      <c r="M9" s="46">
        <v>0.1</v>
      </c>
      <c r="N9" s="44">
        <v>500</v>
      </c>
      <c r="O9" s="94">
        <f t="shared" ref="O9:R9" si="3">(1+$M9)*N9</f>
        <v>550</v>
      </c>
      <c r="P9" s="94">
        <f t="shared" si="3"/>
        <v>605</v>
      </c>
      <c r="Q9" s="94">
        <f>(1+$M9)*P9</f>
        <v>665.5</v>
      </c>
      <c r="R9" s="94">
        <f t="shared" si="3"/>
        <v>732.05000000000007</v>
      </c>
    </row>
    <row r="10" spans="1:18">
      <c r="A10" s="40" t="s">
        <v>115</v>
      </c>
      <c r="L10" s="165" t="s">
        <v>441</v>
      </c>
      <c r="N10">
        <f>C27*D27+C28*D28+C29*D29</f>
        <v>27000</v>
      </c>
      <c r="O10" s="94">
        <f>(1+25%)*N10</f>
        <v>33750</v>
      </c>
      <c r="P10" s="136">
        <f>(1-50%)*O10</f>
        <v>16875</v>
      </c>
      <c r="Q10" s="136">
        <f>$P$10</f>
        <v>16875</v>
      </c>
      <c r="R10" s="136">
        <f>$P$10</f>
        <v>16875</v>
      </c>
    </row>
    <row r="11" spans="1:18">
      <c r="A11" s="40" t="s">
        <v>116</v>
      </c>
      <c r="L11" s="165" t="s">
        <v>442</v>
      </c>
      <c r="M11" s="166">
        <v>-20000000</v>
      </c>
      <c r="N11" s="45">
        <v>-5000000</v>
      </c>
      <c r="O11" s="45">
        <v>-5000000</v>
      </c>
      <c r="P11" s="45">
        <v>-5000000</v>
      </c>
      <c r="Q11" s="45">
        <v>-5000000</v>
      </c>
      <c r="R11" s="136">
        <f>-SUM(M11:Q11)</f>
        <v>40000000</v>
      </c>
    </row>
    <row r="12" spans="1:18">
      <c r="D12" s="42" t="s">
        <v>117</v>
      </c>
      <c r="E12" s="43" t="s">
        <v>118</v>
      </c>
    </row>
    <row r="13" spans="1:18">
      <c r="A13" s="44"/>
      <c r="D13" s="42" t="s">
        <v>119</v>
      </c>
    </row>
    <row r="14" spans="1:18">
      <c r="B14" s="211" t="s">
        <v>120</v>
      </c>
      <c r="C14" s="211"/>
      <c r="D14" s="45">
        <v>5000</v>
      </c>
      <c r="G14" s="46">
        <v>0.02</v>
      </c>
      <c r="M14" s="165">
        <v>0</v>
      </c>
      <c r="N14">
        <v>1</v>
      </c>
      <c r="O14">
        <v>2</v>
      </c>
      <c r="P14">
        <v>3</v>
      </c>
      <c r="Q14">
        <v>4</v>
      </c>
      <c r="R14">
        <v>5</v>
      </c>
    </row>
    <row r="15" spans="1:18">
      <c r="A15" s="42"/>
      <c r="B15" s="211" t="s">
        <v>121</v>
      </c>
      <c r="C15" s="211"/>
      <c r="D15" s="45">
        <v>2000</v>
      </c>
      <c r="G15" s="46">
        <v>0.04</v>
      </c>
      <c r="M15" s="165">
        <v>2022</v>
      </c>
      <c r="N15">
        <v>2023</v>
      </c>
      <c r="O15" s="165">
        <v>2024</v>
      </c>
      <c r="P15">
        <v>2025</v>
      </c>
      <c r="Q15" s="165">
        <v>2026</v>
      </c>
      <c r="R15">
        <v>2027</v>
      </c>
    </row>
    <row r="16" spans="1:18">
      <c r="A16" s="44"/>
      <c r="B16" s="211" t="s">
        <v>122</v>
      </c>
      <c r="C16" s="211"/>
      <c r="D16" s="45">
        <v>1000</v>
      </c>
      <c r="G16" s="46">
        <v>0.05</v>
      </c>
      <c r="L16" t="s">
        <v>443</v>
      </c>
      <c r="M16" s="94"/>
      <c r="N16" s="94">
        <f>N10*N6</f>
        <v>135000000</v>
      </c>
      <c r="O16" s="94">
        <f t="shared" ref="O16:R16" si="4">O10*O6</f>
        <v>172125000</v>
      </c>
      <c r="P16" s="94">
        <f t="shared" si="4"/>
        <v>87783750</v>
      </c>
      <c r="Q16" s="94">
        <f t="shared" si="4"/>
        <v>89539425</v>
      </c>
      <c r="R16" s="94">
        <f t="shared" si="4"/>
        <v>91330213.5</v>
      </c>
    </row>
    <row r="17" spans="1:18">
      <c r="A17" s="44"/>
      <c r="B17" s="211" t="s">
        <v>123</v>
      </c>
      <c r="C17" s="211"/>
      <c r="D17" s="44">
        <v>500</v>
      </c>
      <c r="G17" s="46">
        <v>0.1</v>
      </c>
      <c r="L17" s="165" t="s">
        <v>121</v>
      </c>
      <c r="M17" s="94"/>
      <c r="N17" s="94">
        <f>N7*N10</f>
        <v>54000000</v>
      </c>
      <c r="O17" s="94">
        <f t="shared" ref="O17:R17" si="5">O7*O10</f>
        <v>70200000</v>
      </c>
      <c r="P17" s="94">
        <f t="shared" si="5"/>
        <v>36504000.000000007</v>
      </c>
      <c r="Q17" s="94">
        <f t="shared" si="5"/>
        <v>37964160.000000007</v>
      </c>
      <c r="R17" s="94">
        <f t="shared" si="5"/>
        <v>39482726.400000013</v>
      </c>
    </row>
    <row r="18" spans="1:18">
      <c r="A18" s="40" t="s">
        <v>124</v>
      </c>
      <c r="C18" s="44"/>
      <c r="D18" s="44"/>
      <c r="G18" s="46"/>
      <c r="L18" s="165" t="s">
        <v>122</v>
      </c>
      <c r="M18" s="94"/>
      <c r="N18" s="94">
        <f>N8*N10</f>
        <v>27000000</v>
      </c>
      <c r="O18" s="94">
        <f t="shared" ref="O18:R18" si="6">O8*O10</f>
        <v>35437500</v>
      </c>
      <c r="P18" s="94">
        <f t="shared" si="6"/>
        <v>18604687.5</v>
      </c>
      <c r="Q18" s="94">
        <f t="shared" si="6"/>
        <v>19534921.875</v>
      </c>
      <c r="R18" s="94">
        <f t="shared" si="6"/>
        <v>20511667.968750004</v>
      </c>
    </row>
    <row r="19" spans="1:18">
      <c r="A19" s="40" t="s">
        <v>125</v>
      </c>
      <c r="C19" s="44"/>
      <c r="D19" s="44"/>
      <c r="G19" s="46"/>
      <c r="L19" s="165" t="s">
        <v>123</v>
      </c>
      <c r="M19" s="94"/>
      <c r="N19" s="94">
        <f>N9*N10</f>
        <v>13500000</v>
      </c>
      <c r="O19" s="94">
        <f t="shared" ref="O19:R19" si="7">O9*O10</f>
        <v>18562500</v>
      </c>
      <c r="P19" s="94">
        <f t="shared" si="7"/>
        <v>10209375</v>
      </c>
      <c r="Q19" s="94">
        <f t="shared" si="7"/>
        <v>11230312.5</v>
      </c>
      <c r="R19" s="94">
        <f t="shared" si="7"/>
        <v>12353343.750000002</v>
      </c>
    </row>
    <row r="20" spans="1:18">
      <c r="A20" s="40" t="s">
        <v>126</v>
      </c>
      <c r="C20" s="44"/>
      <c r="D20" s="44"/>
      <c r="G20" s="46"/>
      <c r="L20" s="165" t="s">
        <v>444</v>
      </c>
      <c r="M20" s="94"/>
      <c r="N20" s="167">
        <f>N16-N17-N18-N19</f>
        <v>40500000</v>
      </c>
      <c r="O20" s="167">
        <f t="shared" ref="O20:R20" si="8">O16-O17-O18-O19</f>
        <v>47925000</v>
      </c>
      <c r="P20" s="167">
        <f t="shared" si="8"/>
        <v>22465687.499999993</v>
      </c>
      <c r="Q20" s="167">
        <f t="shared" si="8"/>
        <v>20810030.624999993</v>
      </c>
      <c r="R20" s="167">
        <f t="shared" si="8"/>
        <v>18982475.381249979</v>
      </c>
    </row>
    <row r="21" spans="1:18">
      <c r="A21" s="40" t="s">
        <v>127</v>
      </c>
      <c r="C21" s="44"/>
      <c r="D21" s="44"/>
      <c r="G21" s="46"/>
      <c r="L21" s="165" t="s">
        <v>445</v>
      </c>
      <c r="M21" s="94">
        <f t="shared" ref="M21:R21" si="9">M68</f>
        <v>0</v>
      </c>
      <c r="N21" s="94">
        <f t="shared" si="9"/>
        <v>25000000</v>
      </c>
      <c r="O21" s="94">
        <f t="shared" si="9"/>
        <v>18750000</v>
      </c>
      <c r="P21" s="94">
        <f t="shared" si="9"/>
        <v>14062500</v>
      </c>
      <c r="Q21" s="94">
        <f t="shared" si="9"/>
        <v>10546875</v>
      </c>
      <c r="R21" s="94">
        <f t="shared" si="9"/>
        <v>7910156.25</v>
      </c>
    </row>
    <row r="22" spans="1:18">
      <c r="A22" s="40" t="s">
        <v>128</v>
      </c>
      <c r="C22" s="44"/>
      <c r="D22" s="44"/>
      <c r="G22" s="46"/>
      <c r="L22" s="165" t="s">
        <v>446</v>
      </c>
      <c r="M22" s="94"/>
      <c r="N22" s="94">
        <f>N20-N21</f>
        <v>15500000</v>
      </c>
      <c r="O22" s="94">
        <f t="shared" ref="O22:R22" si="10">O20-O21</f>
        <v>29175000</v>
      </c>
      <c r="P22" s="94">
        <f t="shared" si="10"/>
        <v>8403187.4999999925</v>
      </c>
      <c r="Q22" s="94">
        <f t="shared" si="10"/>
        <v>10263155.624999993</v>
      </c>
      <c r="R22" s="94">
        <f t="shared" si="10"/>
        <v>11072319.131249979</v>
      </c>
    </row>
    <row r="23" spans="1:18">
      <c r="A23" s="40" t="s">
        <v>129</v>
      </c>
      <c r="C23" s="44"/>
      <c r="D23" s="44"/>
      <c r="G23" s="46"/>
      <c r="L23" s="165" t="s">
        <v>447</v>
      </c>
      <c r="M23" s="94"/>
      <c r="N23" s="94">
        <f>30%*N22</f>
        <v>4650000</v>
      </c>
      <c r="O23" s="94">
        <f t="shared" ref="O23:R23" si="11">30%*O22</f>
        <v>8752500</v>
      </c>
      <c r="P23" s="94">
        <f t="shared" si="11"/>
        <v>2520956.2499999977</v>
      </c>
      <c r="Q23" s="94">
        <f t="shared" si="11"/>
        <v>3078946.6874999977</v>
      </c>
      <c r="R23" s="94">
        <f t="shared" si="11"/>
        <v>3321695.7393749938</v>
      </c>
    </row>
    <row r="24" spans="1:18">
      <c r="A24" s="40" t="s">
        <v>130</v>
      </c>
      <c r="C24" s="44"/>
      <c r="D24" s="44"/>
      <c r="G24" s="46"/>
      <c r="L24" s="165" t="s">
        <v>448</v>
      </c>
      <c r="M24" s="94"/>
      <c r="N24" s="94">
        <f>N22-N23</f>
        <v>10850000</v>
      </c>
      <c r="O24" s="94">
        <f t="shared" ref="O24:R24" si="12">O22-O23</f>
        <v>20422500</v>
      </c>
      <c r="P24" s="94">
        <f t="shared" si="12"/>
        <v>5882231.2499999944</v>
      </c>
      <c r="Q24" s="94">
        <f t="shared" si="12"/>
        <v>7184208.9374999944</v>
      </c>
      <c r="R24" s="94">
        <f t="shared" si="12"/>
        <v>7750623.3918749858</v>
      </c>
    </row>
    <row r="25" spans="1:18">
      <c r="A25" s="44" t="s">
        <v>131</v>
      </c>
      <c r="C25" s="44"/>
      <c r="D25" s="44"/>
      <c r="G25" s="46"/>
      <c r="L25" s="165" t="s">
        <v>449</v>
      </c>
      <c r="M25" s="94"/>
      <c r="N25" s="94">
        <f>N21</f>
        <v>25000000</v>
      </c>
      <c r="O25" s="94">
        <f t="shared" ref="O25:R25" si="13">O21</f>
        <v>18750000</v>
      </c>
      <c r="P25" s="94">
        <f t="shared" si="13"/>
        <v>14062500</v>
      </c>
      <c r="Q25" s="94">
        <f t="shared" si="13"/>
        <v>10546875</v>
      </c>
      <c r="R25" s="94">
        <f t="shared" si="13"/>
        <v>7910156.25</v>
      </c>
    </row>
    <row r="26" spans="1:18">
      <c r="A26" s="44"/>
      <c r="C26" s="42" t="s">
        <v>132</v>
      </c>
      <c r="D26" s="209" t="s">
        <v>133</v>
      </c>
      <c r="E26" s="209"/>
      <c r="L26" s="165" t="s">
        <v>378</v>
      </c>
      <c r="M26" s="94"/>
      <c r="N26" s="94">
        <f>N24+N25</f>
        <v>35850000</v>
      </c>
      <c r="O26" s="94">
        <f t="shared" ref="O26:R26" si="14">O24+O25</f>
        <v>39172500</v>
      </c>
      <c r="P26" s="94">
        <f t="shared" si="14"/>
        <v>19944731.249999993</v>
      </c>
      <c r="Q26" s="94">
        <f t="shared" si="14"/>
        <v>17731083.937499993</v>
      </c>
      <c r="R26" s="94">
        <f t="shared" si="14"/>
        <v>15660779.641874986</v>
      </c>
    </row>
    <row r="27" spans="1:18">
      <c r="C27" s="46">
        <v>0.3</v>
      </c>
      <c r="D27" s="45">
        <v>40000</v>
      </c>
      <c r="F27">
        <f>C27*D27</f>
        <v>12000</v>
      </c>
      <c r="L27" s="165" t="s">
        <v>442</v>
      </c>
      <c r="M27" s="94">
        <f>M11</f>
        <v>-20000000</v>
      </c>
      <c r="N27" s="94">
        <f t="shared" ref="N27:R27" si="15">N11</f>
        <v>-5000000</v>
      </c>
      <c r="O27" s="94">
        <f t="shared" si="15"/>
        <v>-5000000</v>
      </c>
      <c r="P27" s="94">
        <f t="shared" si="15"/>
        <v>-5000000</v>
      </c>
      <c r="Q27" s="94">
        <f t="shared" si="15"/>
        <v>-5000000</v>
      </c>
      <c r="R27" s="94">
        <f t="shared" si="15"/>
        <v>40000000</v>
      </c>
    </row>
    <row r="28" spans="1:18">
      <c r="C28" s="46">
        <v>0.4</v>
      </c>
      <c r="D28" s="45">
        <v>30000</v>
      </c>
      <c r="F28">
        <f>C28*D28</f>
        <v>12000</v>
      </c>
      <c r="L28" s="165" t="s">
        <v>460</v>
      </c>
      <c r="R28" s="136">
        <f>R5</f>
        <v>20000000</v>
      </c>
    </row>
    <row r="29" spans="1:18">
      <c r="C29" s="46">
        <v>0.3</v>
      </c>
      <c r="D29" s="45">
        <v>10000</v>
      </c>
      <c r="F29">
        <f>C29*D29</f>
        <v>3000</v>
      </c>
      <c r="L29" s="165" t="s">
        <v>463</v>
      </c>
      <c r="R29" s="136">
        <f>M86</f>
        <v>1119140.625</v>
      </c>
    </row>
    <row r="30" spans="1:18">
      <c r="A30" s="40" t="s">
        <v>134</v>
      </c>
      <c r="L30" s="165" t="s">
        <v>386</v>
      </c>
      <c r="M30" s="94">
        <v>-100000000</v>
      </c>
    </row>
    <row r="31" spans="1:18">
      <c r="A31" s="40" t="s">
        <v>135</v>
      </c>
      <c r="L31" s="39" t="s">
        <v>465</v>
      </c>
      <c r="M31" s="136">
        <f>SUM(M26:M30)</f>
        <v>-120000000</v>
      </c>
      <c r="N31" s="136">
        <f t="shared" ref="N31:R31" si="16">SUM(N26:N30)</f>
        <v>30850000</v>
      </c>
      <c r="O31" s="136">
        <f t="shared" si="16"/>
        <v>34172500</v>
      </c>
      <c r="P31" s="136">
        <f t="shared" si="16"/>
        <v>14944731.249999993</v>
      </c>
      <c r="Q31" s="136">
        <f t="shared" si="16"/>
        <v>12731083.937499993</v>
      </c>
      <c r="R31" s="136">
        <f t="shared" si="16"/>
        <v>76779920.266874984</v>
      </c>
    </row>
    <row r="32" spans="1:18">
      <c r="A32" s="40"/>
    </row>
    <row r="33" spans="1:19">
      <c r="A33" s="40"/>
      <c r="L33" s="165" t="s">
        <v>466</v>
      </c>
      <c r="M33" s="169">
        <v>0.1532</v>
      </c>
    </row>
    <row r="34" spans="1:19">
      <c r="A34" s="40"/>
    </row>
    <row r="35" spans="1:19">
      <c r="A35" s="40" t="s">
        <v>136</v>
      </c>
      <c r="L35" t="s">
        <v>368</v>
      </c>
      <c r="M35" s="136">
        <f>NPV(M33,N31:R31)+M31</f>
        <v>-12962337.719308823</v>
      </c>
      <c r="N35" t="s">
        <v>438</v>
      </c>
    </row>
    <row r="36" spans="1:19" ht="18.5">
      <c r="G36" s="170" t="s">
        <v>467</v>
      </c>
      <c r="H36" s="170"/>
      <c r="L36" t="s">
        <v>369</v>
      </c>
      <c r="M36" s="169">
        <f>IRR(M31:R31)</f>
        <v>0.11120001972826388</v>
      </c>
      <c r="N36" t="s">
        <v>438</v>
      </c>
    </row>
    <row r="37" spans="1:19" ht="18.5">
      <c r="A37" s="41" t="s">
        <v>137</v>
      </c>
      <c r="G37" s="170" t="s">
        <v>468</v>
      </c>
      <c r="H37" s="170"/>
      <c r="K37" s="47"/>
      <c r="L37" t="s">
        <v>371</v>
      </c>
      <c r="M37" s="173">
        <f>NPV(M33,N31:R31)/-M31</f>
        <v>0.89198051900575981</v>
      </c>
      <c r="N37" t="s">
        <v>438</v>
      </c>
    </row>
    <row r="38" spans="1:19" ht="18.5">
      <c r="A38" s="40" t="s">
        <v>138</v>
      </c>
      <c r="G38" s="170" t="s">
        <v>469</v>
      </c>
      <c r="H38" s="171">
        <f>(1+8%)*(1+4%)</f>
        <v>1.1232000000000002</v>
      </c>
      <c r="K38" s="47"/>
    </row>
    <row r="39" spans="1:19" ht="18.5">
      <c r="A39" s="40" t="s">
        <v>139</v>
      </c>
      <c r="G39" s="170" t="s">
        <v>380</v>
      </c>
      <c r="H39" s="162">
        <f>H38-1</f>
        <v>0.1232000000000002</v>
      </c>
      <c r="K39" s="48" t="s">
        <v>140</v>
      </c>
      <c r="M39" t="s">
        <v>465</v>
      </c>
      <c r="N39">
        <v>-120000000</v>
      </c>
      <c r="O39">
        <v>30850000</v>
      </c>
      <c r="P39">
        <v>34172500</v>
      </c>
      <c r="Q39">
        <v>14944731.249999993</v>
      </c>
      <c r="R39">
        <v>12731083.937499993</v>
      </c>
      <c r="S39">
        <v>76779920.266874984</v>
      </c>
    </row>
    <row r="40" spans="1:19" ht="18.5">
      <c r="A40" s="44"/>
      <c r="G40" s="170" t="s">
        <v>470</v>
      </c>
      <c r="H40" s="135">
        <v>0.03</v>
      </c>
    </row>
    <row r="41" spans="1:19" ht="18.5">
      <c r="A41" s="40" t="s">
        <v>141</v>
      </c>
      <c r="G41" s="170" t="s">
        <v>471</v>
      </c>
      <c r="H41" s="172">
        <f>H39+H40</f>
        <v>0.1532000000000002</v>
      </c>
      <c r="K41" s="48" t="s">
        <v>59</v>
      </c>
      <c r="M41" t="s">
        <v>473</v>
      </c>
      <c r="N41" t="s">
        <v>465</v>
      </c>
      <c r="O41" t="s">
        <v>474</v>
      </c>
    </row>
    <row r="42" spans="1:19">
      <c r="A42" s="44"/>
      <c r="K42" s="49"/>
      <c r="M42">
        <v>0</v>
      </c>
      <c r="N42" s="94">
        <v>-120000000</v>
      </c>
      <c r="O42" s="94">
        <f>N42</f>
        <v>-120000000</v>
      </c>
    </row>
    <row r="43" spans="1:19">
      <c r="A43" s="40" t="s">
        <v>142</v>
      </c>
      <c r="B43" s="44"/>
      <c r="K43" s="48" t="s">
        <v>143</v>
      </c>
      <c r="M43">
        <v>1</v>
      </c>
      <c r="N43" s="94">
        <v>30850000</v>
      </c>
      <c r="O43" s="94">
        <f>O42+N43</f>
        <v>-89150000</v>
      </c>
    </row>
    <row r="44" spans="1:19">
      <c r="A44" s="44"/>
      <c r="K44" s="50" t="s">
        <v>144</v>
      </c>
      <c r="M44">
        <v>2</v>
      </c>
      <c r="N44" s="94">
        <v>34172500</v>
      </c>
      <c r="O44" s="94">
        <f t="shared" ref="O44:O47" si="17">O43+N44</f>
        <v>-54977500</v>
      </c>
    </row>
    <row r="45" spans="1:19">
      <c r="M45">
        <v>3</v>
      </c>
      <c r="N45" s="94">
        <v>14944731.249999993</v>
      </c>
      <c r="O45" s="94">
        <f t="shared" si="17"/>
        <v>-40032768.750000007</v>
      </c>
      <c r="Q45">
        <f>M46</f>
        <v>4</v>
      </c>
    </row>
    <row r="46" spans="1:19">
      <c r="M46">
        <v>4</v>
      </c>
      <c r="N46" s="94">
        <v>12731083.937499993</v>
      </c>
      <c r="O46" s="94">
        <f t="shared" si="17"/>
        <v>-27301684.812500015</v>
      </c>
      <c r="P46" s="136">
        <f>-O46</f>
        <v>27301684.812500015</v>
      </c>
      <c r="Q46">
        <f>P46/P47</f>
        <v>0.35558365673738174</v>
      </c>
    </row>
    <row r="47" spans="1:19">
      <c r="M47">
        <v>5</v>
      </c>
      <c r="N47" s="94">
        <v>76779920.266874984</v>
      </c>
      <c r="O47" s="94">
        <f t="shared" si="17"/>
        <v>49478235.454374969</v>
      </c>
      <c r="P47" s="136">
        <f>N47</f>
        <v>76779920.266874984</v>
      </c>
      <c r="R47" t="s">
        <v>475</v>
      </c>
    </row>
    <row r="48" spans="1:19">
      <c r="P48" t="s">
        <v>370</v>
      </c>
      <c r="Q48" s="139">
        <f>SUM(Q45:Q46)</f>
        <v>4.355583656737382</v>
      </c>
    </row>
    <row r="53" spans="12:18">
      <c r="L53" s="165" t="s">
        <v>459</v>
      </c>
      <c r="M53" s="94"/>
      <c r="N53" s="94"/>
      <c r="O53" s="94"/>
      <c r="P53" s="94"/>
      <c r="Q53" s="94"/>
      <c r="R53" s="94"/>
    </row>
    <row r="54" spans="12:18">
      <c r="M54" s="94"/>
      <c r="N54" s="94"/>
      <c r="O54" s="94"/>
      <c r="P54" s="94"/>
      <c r="Q54" s="94"/>
      <c r="R54" s="94"/>
    </row>
    <row r="55" spans="12:18">
      <c r="L55" s="94" t="str">
        <f>L20</f>
        <v>EBITDA</v>
      </c>
      <c r="M55" s="94"/>
      <c r="N55" s="94">
        <f>N20</f>
        <v>40500000</v>
      </c>
      <c r="O55" s="94">
        <f>O20</f>
        <v>47925000</v>
      </c>
      <c r="P55" s="94">
        <f>P20</f>
        <v>22465687.499999993</v>
      </c>
      <c r="Q55" s="94">
        <f>Q20</f>
        <v>20810030.624999993</v>
      </c>
      <c r="R55" s="94">
        <f>R20</f>
        <v>18982475.381249979</v>
      </c>
    </row>
    <row r="56" spans="12:18">
      <c r="L56" t="s">
        <v>457</v>
      </c>
      <c r="M56" s="94"/>
      <c r="N56" s="94">
        <f>30%*N55</f>
        <v>12150000</v>
      </c>
      <c r="O56" s="94">
        <f t="shared" ref="O56:R56" si="18">30%*O55</f>
        <v>14377500</v>
      </c>
      <c r="P56" s="94">
        <f t="shared" si="18"/>
        <v>6739706.2499999972</v>
      </c>
      <c r="Q56" s="94">
        <f t="shared" si="18"/>
        <v>6243009.1874999972</v>
      </c>
      <c r="R56" s="94">
        <f t="shared" si="18"/>
        <v>5694742.6143749934</v>
      </c>
    </row>
    <row r="57" spans="12:18">
      <c r="L57" t="s">
        <v>448</v>
      </c>
      <c r="M57" s="94"/>
      <c r="N57" s="94">
        <f>N55-N56</f>
        <v>28350000</v>
      </c>
      <c r="O57" s="94">
        <f t="shared" ref="O57:R57" si="19">O55-O56</f>
        <v>33547500</v>
      </c>
      <c r="P57" s="94">
        <f t="shared" si="19"/>
        <v>15725981.249999996</v>
      </c>
      <c r="Q57" s="94">
        <f t="shared" si="19"/>
        <v>14567021.437499996</v>
      </c>
      <c r="R57" s="94">
        <f t="shared" si="19"/>
        <v>13287732.766874986</v>
      </c>
    </row>
    <row r="58" spans="12:18">
      <c r="L58" t="s">
        <v>458</v>
      </c>
      <c r="M58" s="94"/>
      <c r="N58" s="94">
        <f>N78</f>
        <v>7500000</v>
      </c>
      <c r="O58" s="94">
        <f t="shared" ref="O58:R58" si="20">O78</f>
        <v>5625000</v>
      </c>
      <c r="P58" s="94">
        <f t="shared" si="20"/>
        <v>4218750</v>
      </c>
      <c r="Q58" s="94">
        <f t="shared" si="20"/>
        <v>3164062.5</v>
      </c>
      <c r="R58" s="94">
        <f t="shared" si="20"/>
        <v>2373046.875</v>
      </c>
    </row>
    <row r="59" spans="12:18">
      <c r="L59" t="s">
        <v>378</v>
      </c>
      <c r="M59" s="94"/>
      <c r="N59" s="94">
        <f>N57+N58</f>
        <v>35850000</v>
      </c>
      <c r="O59" s="94">
        <f t="shared" ref="O59:R59" si="21">O57+O58</f>
        <v>39172500</v>
      </c>
      <c r="P59" s="94">
        <f t="shared" si="21"/>
        <v>19944731.249999996</v>
      </c>
      <c r="Q59" s="94">
        <f t="shared" si="21"/>
        <v>17731083.937499996</v>
      </c>
      <c r="R59" s="94">
        <f t="shared" si="21"/>
        <v>15660779.641874986</v>
      </c>
    </row>
    <row r="60" spans="12:18">
      <c r="M60" s="94"/>
      <c r="N60" s="94"/>
      <c r="O60" s="94"/>
      <c r="P60" s="94"/>
      <c r="Q60" s="94"/>
      <c r="R60" s="94"/>
    </row>
    <row r="63" spans="12:18">
      <c r="M63" s="165">
        <v>0</v>
      </c>
      <c r="N63">
        <v>1</v>
      </c>
      <c r="O63">
        <v>2</v>
      </c>
      <c r="P63">
        <v>3</v>
      </c>
      <c r="Q63">
        <v>4</v>
      </c>
      <c r="R63">
        <v>5</v>
      </c>
    </row>
    <row r="64" spans="12:18">
      <c r="L64" t="s">
        <v>464</v>
      </c>
      <c r="M64" s="165">
        <v>2022</v>
      </c>
      <c r="N64">
        <v>2023</v>
      </c>
      <c r="O64" s="165">
        <v>2024</v>
      </c>
      <c r="P64">
        <v>2025</v>
      </c>
      <c r="Q64" s="165">
        <v>2026</v>
      </c>
      <c r="R64">
        <v>2027</v>
      </c>
    </row>
    <row r="65" spans="12:18">
      <c r="L65" t="s">
        <v>450</v>
      </c>
      <c r="M65" s="94">
        <v>0</v>
      </c>
      <c r="N65" s="94">
        <f>M69</f>
        <v>100000000</v>
      </c>
      <c r="O65" s="94">
        <f t="shared" ref="O65:R65" si="22">N69</f>
        <v>75000000</v>
      </c>
      <c r="P65" s="94">
        <f t="shared" si="22"/>
        <v>56250000</v>
      </c>
      <c r="Q65" s="94">
        <f t="shared" si="22"/>
        <v>42187500</v>
      </c>
      <c r="R65" s="94">
        <f t="shared" si="22"/>
        <v>31640625</v>
      </c>
    </row>
    <row r="66" spans="12:18">
      <c r="L66" t="s">
        <v>451</v>
      </c>
      <c r="M66" s="94">
        <v>100000000</v>
      </c>
      <c r="N66" s="94">
        <v>0</v>
      </c>
      <c r="O66" s="94">
        <v>0</v>
      </c>
      <c r="P66" s="94">
        <v>0</v>
      </c>
      <c r="Q66" s="94">
        <v>0</v>
      </c>
      <c r="R66" s="94">
        <v>0</v>
      </c>
    </row>
    <row r="67" spans="12:18">
      <c r="L67" t="s">
        <v>452</v>
      </c>
      <c r="M67" s="94">
        <f>SUM(M65:M66)</f>
        <v>100000000</v>
      </c>
      <c r="N67" s="94">
        <f>SUM(N65:N66)</f>
        <v>100000000</v>
      </c>
      <c r="O67" s="94">
        <f t="shared" ref="O67:R67" si="23">SUM(O65:O66)</f>
        <v>75000000</v>
      </c>
      <c r="P67" s="94">
        <f t="shared" si="23"/>
        <v>56250000</v>
      </c>
      <c r="Q67" s="94">
        <f t="shared" si="23"/>
        <v>42187500</v>
      </c>
      <c r="R67" s="94">
        <f t="shared" si="23"/>
        <v>31640625</v>
      </c>
    </row>
    <row r="68" spans="12:18">
      <c r="L68" t="s">
        <v>453</v>
      </c>
      <c r="M68" s="94">
        <v>0</v>
      </c>
      <c r="N68" s="94">
        <f>25%*N67</f>
        <v>25000000</v>
      </c>
      <c r="O68" s="94">
        <f>25%*O67</f>
        <v>18750000</v>
      </c>
      <c r="P68" s="94">
        <f t="shared" ref="P68:R68" si="24">25%*P67</f>
        <v>14062500</v>
      </c>
      <c r="Q68" s="94">
        <f t="shared" si="24"/>
        <v>10546875</v>
      </c>
      <c r="R68" s="94">
        <f t="shared" si="24"/>
        <v>7910156.25</v>
      </c>
    </row>
    <row r="69" spans="12:18">
      <c r="L69" t="s">
        <v>454</v>
      </c>
      <c r="M69" s="94">
        <f>M67-M68</f>
        <v>100000000</v>
      </c>
      <c r="N69" s="94">
        <f>N67-N68</f>
        <v>75000000</v>
      </c>
      <c r="O69" s="94">
        <f>O67-O68</f>
        <v>56250000</v>
      </c>
      <c r="P69" s="94">
        <f t="shared" ref="P69:Q69" si="25">P67-P68</f>
        <v>42187500</v>
      </c>
      <c r="Q69" s="94">
        <f t="shared" si="25"/>
        <v>31640625</v>
      </c>
      <c r="R69" s="94">
        <f>R67-R68</f>
        <v>23730468.75</v>
      </c>
    </row>
    <row r="70" spans="12:18">
      <c r="M70" s="94"/>
      <c r="N70" s="94"/>
      <c r="O70" s="94"/>
      <c r="P70" s="94"/>
      <c r="Q70" s="94"/>
      <c r="R70" s="94"/>
    </row>
    <row r="74" spans="12:18">
      <c r="L74" t="s">
        <v>455</v>
      </c>
    </row>
    <row r="75" spans="12:18">
      <c r="L75" t="s">
        <v>184</v>
      </c>
      <c r="M75" s="133">
        <v>0.3</v>
      </c>
    </row>
    <row r="76" spans="12:18">
      <c r="M76" s="165">
        <v>0</v>
      </c>
      <c r="N76">
        <v>1</v>
      </c>
      <c r="O76">
        <v>2</v>
      </c>
      <c r="P76">
        <v>3</v>
      </c>
      <c r="Q76">
        <v>4</v>
      </c>
      <c r="R76">
        <v>5</v>
      </c>
    </row>
    <row r="77" spans="12:18">
      <c r="L77" t="s">
        <v>453</v>
      </c>
      <c r="M77" s="136">
        <f>M68</f>
        <v>0</v>
      </c>
      <c r="N77" s="136">
        <f t="shared" ref="N77:R77" si="26">N68</f>
        <v>25000000</v>
      </c>
      <c r="O77" s="136">
        <f t="shared" si="26"/>
        <v>18750000</v>
      </c>
      <c r="P77" s="136">
        <f t="shared" si="26"/>
        <v>14062500</v>
      </c>
      <c r="Q77" s="136">
        <f t="shared" si="26"/>
        <v>10546875</v>
      </c>
      <c r="R77" s="136">
        <f t="shared" si="26"/>
        <v>7910156.25</v>
      </c>
    </row>
    <row r="78" spans="12:18">
      <c r="L78" t="s">
        <v>456</v>
      </c>
      <c r="M78" s="136">
        <f t="shared" ref="M78:R78" si="27">$M$75*M77</f>
        <v>0</v>
      </c>
      <c r="N78" s="136">
        <f t="shared" si="27"/>
        <v>7500000</v>
      </c>
      <c r="O78" s="136">
        <f t="shared" si="27"/>
        <v>5625000</v>
      </c>
      <c r="P78" s="136">
        <f t="shared" si="27"/>
        <v>4218750</v>
      </c>
      <c r="Q78" s="136">
        <f t="shared" si="27"/>
        <v>3164062.5</v>
      </c>
      <c r="R78" s="136">
        <f t="shared" si="27"/>
        <v>2373046.875</v>
      </c>
    </row>
    <row r="82" spans="12:17">
      <c r="L82" t="s">
        <v>440</v>
      </c>
      <c r="M82" s="136">
        <f>R5</f>
        <v>20000000</v>
      </c>
    </row>
    <row r="83" spans="12:17">
      <c r="L83" t="s">
        <v>461</v>
      </c>
      <c r="M83" s="136">
        <f>R69</f>
        <v>23730468.75</v>
      </c>
    </row>
    <row r="84" spans="12:17">
      <c r="L84" t="s">
        <v>462</v>
      </c>
      <c r="M84" s="136">
        <f>M83-M82</f>
        <v>3730468.75</v>
      </c>
    </row>
    <row r="86" spans="12:17">
      <c r="L86" t="s">
        <v>463</v>
      </c>
      <c r="M86" s="168">
        <f>30%*M84</f>
        <v>1119140.625</v>
      </c>
    </row>
    <row r="88" spans="12:17">
      <c r="O88" t="s">
        <v>466</v>
      </c>
      <c r="P88" s="169">
        <v>0.1532</v>
      </c>
    </row>
    <row r="90" spans="12:17">
      <c r="M90" t="s">
        <v>473</v>
      </c>
      <c r="N90" t="s">
        <v>465</v>
      </c>
      <c r="O90" t="s">
        <v>476</v>
      </c>
      <c r="P90" t="s">
        <v>477</v>
      </c>
      <c r="Q90" t="s">
        <v>433</v>
      </c>
    </row>
    <row r="91" spans="12:17">
      <c r="M91">
        <v>0</v>
      </c>
      <c r="N91" s="94">
        <v>-120000000</v>
      </c>
      <c r="O91" s="135">
        <f>(1+$P$88)^-M91</f>
        <v>1</v>
      </c>
      <c r="P91" s="94">
        <f>N91*O91</f>
        <v>-120000000</v>
      </c>
      <c r="Q91" s="136">
        <f>P91</f>
        <v>-120000000</v>
      </c>
    </row>
    <row r="92" spans="12:17">
      <c r="M92">
        <v>1</v>
      </c>
      <c r="N92" s="94">
        <v>30850000</v>
      </c>
      <c r="O92" s="135">
        <f t="shared" ref="O92:O96" si="28">(1+$P$88)^-M92</f>
        <v>0.8671522719389525</v>
      </c>
      <c r="P92" s="94">
        <f t="shared" ref="P92:P96" si="29">N92*O92</f>
        <v>26751647.589316685</v>
      </c>
      <c r="Q92" s="136">
        <f>Q91+P92</f>
        <v>-93248352.410683319</v>
      </c>
    </row>
    <row r="93" spans="12:17">
      <c r="M93">
        <v>2</v>
      </c>
      <c r="N93" s="94">
        <v>34172500</v>
      </c>
      <c r="O93" s="135">
        <f t="shared" si="28"/>
        <v>0.75195306272888696</v>
      </c>
      <c r="P93" s="94">
        <f t="shared" si="29"/>
        <v>25696116.036102891</v>
      </c>
      <c r="Q93" s="136">
        <f t="shared" ref="Q93:Q96" si="30">Q92+P93</f>
        <v>-67552236.374580428</v>
      </c>
    </row>
    <row r="94" spans="12:17">
      <c r="M94">
        <v>3</v>
      </c>
      <c r="N94" s="94">
        <v>14944731.249999993</v>
      </c>
      <c r="O94" s="135">
        <f t="shared" si="28"/>
        <v>0.65205780673680802</v>
      </c>
      <c r="P94" s="94">
        <f t="shared" si="29"/>
        <v>9744828.6811460312</v>
      </c>
      <c r="Q94" s="136">
        <f t="shared" si="30"/>
        <v>-57807407.693434395</v>
      </c>
    </row>
    <row r="95" spans="12:17">
      <c r="M95">
        <v>4</v>
      </c>
      <c r="N95" s="94">
        <v>12731083.937499993</v>
      </c>
      <c r="O95" s="135">
        <f t="shared" si="28"/>
        <v>0.56543340854735347</v>
      </c>
      <c r="P95" s="94">
        <f t="shared" si="29"/>
        <v>7198580.1852830825</v>
      </c>
      <c r="Q95" s="136">
        <f t="shared" si="30"/>
        <v>-50608827.508151315</v>
      </c>
    </row>
    <row r="96" spans="12:17">
      <c r="M96">
        <v>5</v>
      </c>
      <c r="N96" s="94">
        <v>76779920.266874984</v>
      </c>
      <c r="O96" s="135">
        <f t="shared" si="28"/>
        <v>0.49031686485202347</v>
      </c>
      <c r="P96" s="94">
        <f t="shared" si="29"/>
        <v>37646489.788842477</v>
      </c>
      <c r="Q96" s="136">
        <f t="shared" si="30"/>
        <v>-12962337.719308838</v>
      </c>
    </row>
    <row r="98" spans="16:18">
      <c r="P98" t="s">
        <v>393</v>
      </c>
      <c r="Q98" t="s">
        <v>478</v>
      </c>
      <c r="R98" t="s">
        <v>438</v>
      </c>
    </row>
  </sheetData>
  <mergeCells count="6">
    <mergeCell ref="D26:E26"/>
    <mergeCell ref="A1:D1"/>
    <mergeCell ref="B14:C14"/>
    <mergeCell ref="B15:C15"/>
    <mergeCell ref="B16:C16"/>
    <mergeCell ref="B17:C1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88832-CA9C-41B2-AB2F-AB9D6A8ECED7}">
  <dimension ref="A2:AF68"/>
  <sheetViews>
    <sheetView topLeftCell="A14" workbookViewId="0">
      <selection activeCell="P8" sqref="P8:Q11"/>
    </sheetView>
  </sheetViews>
  <sheetFormatPr defaultRowHeight="14.5"/>
  <cols>
    <col min="1" max="1" width="6.54296875" customWidth="1"/>
    <col min="3" max="3" width="30.26953125" customWidth="1"/>
    <col min="4" max="4" width="14.81640625" customWidth="1"/>
    <col min="5" max="5" width="12.1796875" customWidth="1"/>
    <col min="6" max="6" width="11.1796875" customWidth="1"/>
    <col min="7" max="7" width="9.36328125" bestFit="1" customWidth="1"/>
    <col min="10" max="11" width="14.453125" bestFit="1" customWidth="1"/>
    <col min="12" max="12" width="21.36328125" customWidth="1"/>
    <col min="13" max="13" width="20.1796875" customWidth="1"/>
    <col min="14" max="14" width="19.453125" customWidth="1"/>
    <col min="15" max="15" width="13.81640625" customWidth="1"/>
    <col min="16" max="16" width="23.36328125" customWidth="1"/>
    <col min="17" max="17" width="13.26953125" customWidth="1"/>
    <col min="18" max="18" width="11.08984375" bestFit="1" customWidth="1"/>
    <col min="19" max="21" width="11.08984375" customWidth="1"/>
    <col min="22" max="22" width="15.81640625" customWidth="1"/>
    <col min="23" max="23" width="13.08984375" customWidth="1"/>
    <col min="25" max="25" width="10.90625" bestFit="1" customWidth="1"/>
    <col min="26" max="26" width="9.81640625" bestFit="1" customWidth="1"/>
    <col min="32" max="32" width="11.7265625" customWidth="1"/>
  </cols>
  <sheetData>
    <row r="2" spans="1:29" ht="30">
      <c r="A2" s="210" t="s">
        <v>77</v>
      </c>
      <c r="B2" s="210"/>
      <c r="C2" s="210"/>
      <c r="D2" s="210"/>
      <c r="E2" s="210"/>
      <c r="M2" s="134" t="s">
        <v>381</v>
      </c>
      <c r="Y2" t="s">
        <v>369</v>
      </c>
    </row>
    <row r="3" spans="1:29">
      <c r="A3" s="37" t="s">
        <v>108</v>
      </c>
      <c r="B3" s="38"/>
      <c r="C3" s="38"/>
      <c r="D3" s="38"/>
      <c r="E3" s="38"/>
      <c r="K3" t="s">
        <v>380</v>
      </c>
      <c r="L3" t="s">
        <v>378</v>
      </c>
      <c r="M3" t="s">
        <v>382</v>
      </c>
      <c r="N3" t="s">
        <v>383</v>
      </c>
      <c r="P3" t="s">
        <v>435</v>
      </c>
      <c r="Y3" t="s">
        <v>389</v>
      </c>
      <c r="Z3" s="140">
        <v>0.11541278310045555</v>
      </c>
      <c r="AC3" t="s">
        <v>371</v>
      </c>
    </row>
    <row r="4" spans="1:29">
      <c r="A4" s="41" t="s">
        <v>78</v>
      </c>
      <c r="B4" s="44"/>
      <c r="K4">
        <v>0</v>
      </c>
      <c r="L4" s="94">
        <v>-10000000</v>
      </c>
      <c r="M4" s="135">
        <f>(1+$L$11)^-K4</f>
        <v>1</v>
      </c>
      <c r="N4" s="164">
        <f>L4*M4</f>
        <v>-10000000</v>
      </c>
      <c r="Y4" t="s">
        <v>390</v>
      </c>
      <c r="Z4" s="140">
        <v>0.11541278310055758</v>
      </c>
      <c r="AC4" t="s">
        <v>393</v>
      </c>
    </row>
    <row r="5" spans="1:29">
      <c r="A5" s="40" t="s">
        <v>145</v>
      </c>
      <c r="K5">
        <v>1</v>
      </c>
      <c r="L5" s="94">
        <v>2750000</v>
      </c>
      <c r="M5" s="135">
        <f t="shared" ref="M5:M8" si="0">(1+$L$11)^-K5</f>
        <v>0.92592592592592582</v>
      </c>
      <c r="N5" s="137">
        <f t="shared" ref="N5:N8" si="1">L5*M5</f>
        <v>2546296.2962962962</v>
      </c>
      <c r="P5" t="s">
        <v>436</v>
      </c>
      <c r="Q5" s="136">
        <f>NPV(L11,L5:L8)</f>
        <v>10791273.161084672</v>
      </c>
      <c r="V5" t="s">
        <v>388</v>
      </c>
      <c r="Y5" t="s">
        <v>391</v>
      </c>
      <c r="AC5" t="s">
        <v>370</v>
      </c>
    </row>
    <row r="6" spans="1:29">
      <c r="A6" s="51"/>
      <c r="B6" s="44"/>
      <c r="K6">
        <v>2</v>
      </c>
      <c r="L6" s="94">
        <v>4250000</v>
      </c>
      <c r="M6" s="135">
        <f t="shared" si="0"/>
        <v>0.85733882030178321</v>
      </c>
      <c r="N6" s="137">
        <f t="shared" si="1"/>
        <v>3643689.9862825787</v>
      </c>
      <c r="P6" t="s">
        <v>386</v>
      </c>
      <c r="Q6" s="136">
        <f>10000000</f>
        <v>10000000</v>
      </c>
      <c r="V6" t="s">
        <v>368</v>
      </c>
      <c r="W6">
        <v>0</v>
      </c>
    </row>
    <row r="7" spans="1:29">
      <c r="A7" s="52"/>
      <c r="C7" t="s">
        <v>146</v>
      </c>
      <c r="E7" t="s">
        <v>147</v>
      </c>
      <c r="K7">
        <v>3</v>
      </c>
      <c r="L7" s="94">
        <v>3250000</v>
      </c>
      <c r="M7" s="135">
        <f t="shared" si="0"/>
        <v>0.79383224102016958</v>
      </c>
      <c r="N7" s="137">
        <f t="shared" si="1"/>
        <v>2579954.783315551</v>
      </c>
    </row>
    <row r="8" spans="1:29">
      <c r="C8" s="56"/>
      <c r="K8">
        <v>4</v>
      </c>
      <c r="L8" s="94">
        <v>2750000</v>
      </c>
      <c r="M8" s="135">
        <f t="shared" si="0"/>
        <v>0.73502985279645328</v>
      </c>
      <c r="N8" s="137">
        <f t="shared" si="1"/>
        <v>2021332.0951902466</v>
      </c>
      <c r="P8" t="s">
        <v>371</v>
      </c>
      <c r="Q8" s="163">
        <f>Q5/Q6</f>
        <v>1.0791273161084673</v>
      </c>
    </row>
    <row r="9" spans="1:29">
      <c r="C9" s="56">
        <v>44927</v>
      </c>
      <c r="E9" s="94">
        <v>-10000000</v>
      </c>
      <c r="P9" t="s">
        <v>437</v>
      </c>
      <c r="Q9" t="s">
        <v>387</v>
      </c>
      <c r="Y9" s="141">
        <f>IRR(L4:L8)</f>
        <v>0.11541278310055758</v>
      </c>
    </row>
    <row r="10" spans="1:29">
      <c r="C10" s="56">
        <f>EOMONTH(C9,5)</f>
        <v>45107</v>
      </c>
      <c r="E10" s="94">
        <v>2750000</v>
      </c>
      <c r="G10" s="139"/>
      <c r="N10" t="s">
        <v>384</v>
      </c>
      <c r="O10" s="136">
        <f>N5+N6+N7+N8</f>
        <v>10791273.161084671</v>
      </c>
      <c r="P10" t="s">
        <v>472</v>
      </c>
      <c r="Q10" t="s">
        <v>438</v>
      </c>
    </row>
    <row r="11" spans="1:29">
      <c r="C11" s="56">
        <v>45504</v>
      </c>
      <c r="E11" s="94">
        <v>4250000</v>
      </c>
      <c r="G11" s="139"/>
      <c r="K11" t="s">
        <v>379</v>
      </c>
      <c r="L11" s="47">
        <v>0.08</v>
      </c>
      <c r="N11" t="s">
        <v>386</v>
      </c>
      <c r="O11" s="137">
        <f>10000000</f>
        <v>10000000</v>
      </c>
    </row>
    <row r="12" spans="1:29">
      <c r="C12" s="56">
        <v>45930</v>
      </c>
      <c r="E12" s="94">
        <v>3250000</v>
      </c>
      <c r="G12" s="139">
        <f>XNPV(L11,E9:E13,C9:C13)</f>
        <v>1062559.8529430779</v>
      </c>
      <c r="K12" t="s">
        <v>368</v>
      </c>
      <c r="L12" s="94">
        <f>NPV(L11,L5:L8)+L4</f>
        <v>791273.16108467244</v>
      </c>
      <c r="N12" t="s">
        <v>385</v>
      </c>
      <c r="O12" s="136">
        <f>O10-O11</f>
        <v>791273.16108467057</v>
      </c>
      <c r="R12" s="94">
        <v>0</v>
      </c>
      <c r="S12" s="94"/>
      <c r="T12" s="94"/>
      <c r="U12" s="94"/>
    </row>
    <row r="13" spans="1:29">
      <c r="C13" s="56">
        <v>46387</v>
      </c>
      <c r="E13" s="94">
        <v>2750000</v>
      </c>
      <c r="G13" s="139"/>
      <c r="L13" s="47"/>
      <c r="Q13" t="s">
        <v>375</v>
      </c>
    </row>
    <row r="14" spans="1:29">
      <c r="Q14" s="136">
        <f>L12</f>
        <v>791273.16108467244</v>
      </c>
      <c r="V14" t="s">
        <v>379</v>
      </c>
      <c r="W14" t="s">
        <v>368</v>
      </c>
    </row>
    <row r="15" spans="1:29">
      <c r="C15" s="53" t="s">
        <v>392</v>
      </c>
      <c r="D15" s="133">
        <v>0.08</v>
      </c>
      <c r="E15" t="s">
        <v>372</v>
      </c>
      <c r="F15" s="94">
        <f>XNPV(D15,E9:E13,C9:C13)</f>
        <v>1062559.8529430779</v>
      </c>
      <c r="G15" t="s">
        <v>387</v>
      </c>
      <c r="N15" s="136"/>
      <c r="P15" s="133">
        <v>0.01</v>
      </c>
      <c r="Q15" s="136">
        <f t="dataTable" ref="Q15:Q30" dt2D="0" dtr="0" r1="L11"/>
        <v>2686144.4152997248</v>
      </c>
      <c r="V15" s="133">
        <v>0.01</v>
      </c>
      <c r="W15" s="136">
        <f>NPV(V15,$L$5:$L$8)+$L$4</f>
        <v>2686144.4152997248</v>
      </c>
    </row>
    <row r="16" spans="1:29">
      <c r="E16" t="s">
        <v>368</v>
      </c>
      <c r="F16" s="142">
        <f>NPV(D15,E10:E13)+E9</f>
        <v>791273.16108467244</v>
      </c>
      <c r="G16" t="s">
        <v>387</v>
      </c>
      <c r="M16" t="s">
        <v>368</v>
      </c>
      <c r="N16" s="138">
        <f>NPV(L11,L5:L8)+N4</f>
        <v>791273.16108467244</v>
      </c>
      <c r="O16" t="s">
        <v>387</v>
      </c>
      <c r="P16" s="133">
        <v>0.02</v>
      </c>
      <c r="Q16" s="136">
        <v>2384168.2604847942</v>
      </c>
      <c r="V16" s="133">
        <v>0.02</v>
      </c>
      <c r="W16" s="136">
        <f t="shared" ref="W16:W30" si="2">NPV(V16,$L$5:$L$8)+$L$4</f>
        <v>2384168.2604847942</v>
      </c>
    </row>
    <row r="17" spans="1:23">
      <c r="A17" s="53"/>
      <c r="E17" t="s">
        <v>373</v>
      </c>
      <c r="F17" s="47">
        <f>XIRR(E9:E13,C9:C13)</f>
        <v>0.13583356738090518</v>
      </c>
      <c r="G17" t="s">
        <v>387</v>
      </c>
      <c r="P17" s="133">
        <v>0.03</v>
      </c>
      <c r="Q17" s="136">
        <v>2093485.3011057265</v>
      </c>
      <c r="V17" s="133">
        <v>0.03</v>
      </c>
      <c r="W17" s="136">
        <f t="shared" si="2"/>
        <v>2093485.3011057265</v>
      </c>
    </row>
    <row r="18" spans="1:23">
      <c r="E18" t="s">
        <v>369</v>
      </c>
      <c r="F18" s="47">
        <f>IRR(E9:E13)</f>
        <v>0.11541278310055758</v>
      </c>
      <c r="G18" t="s">
        <v>387</v>
      </c>
      <c r="P18" s="133">
        <v>0.04</v>
      </c>
      <c r="Q18" s="136">
        <v>1813544.3655684311</v>
      </c>
      <c r="V18" s="133">
        <v>0.04</v>
      </c>
      <c r="W18" s="136">
        <f t="shared" si="2"/>
        <v>1813544.3655684311</v>
      </c>
    </row>
    <row r="19" spans="1:23">
      <c r="A19" s="54" t="s">
        <v>56</v>
      </c>
      <c r="P19" s="133">
        <v>0.05</v>
      </c>
      <c r="Q19" s="136">
        <v>1543826.9033993036</v>
      </c>
      <c r="V19" s="133">
        <v>0.05</v>
      </c>
      <c r="W19" s="136">
        <f t="shared" si="2"/>
        <v>1543826.9033993036</v>
      </c>
    </row>
    <row r="20" spans="1:23">
      <c r="A20" s="53" t="s">
        <v>148</v>
      </c>
      <c r="J20" s="48" t="s">
        <v>149</v>
      </c>
      <c r="P20" s="133">
        <v>0.06</v>
      </c>
      <c r="Q20" s="136">
        <v>1283844.7364615649</v>
      </c>
      <c r="V20" s="133">
        <v>0.06</v>
      </c>
      <c r="W20" s="136">
        <f t="shared" si="2"/>
        <v>1283844.7364615649</v>
      </c>
    </row>
    <row r="21" spans="1:23">
      <c r="A21" s="53" t="s">
        <v>150</v>
      </c>
      <c r="J21" s="40" t="s">
        <v>151</v>
      </c>
      <c r="P21" s="133">
        <v>7.0000000000000007E-2</v>
      </c>
      <c r="Q21" s="136">
        <v>1033137.9861310367</v>
      </c>
      <c r="V21" s="133">
        <v>7.0000000000000007E-2</v>
      </c>
      <c r="W21" s="136">
        <f t="shared" si="2"/>
        <v>1033137.9861310367</v>
      </c>
    </row>
    <row r="22" spans="1:23">
      <c r="A22" s="53" t="s">
        <v>152</v>
      </c>
      <c r="B22" s="52"/>
      <c r="C22" s="52"/>
      <c r="D22" s="52"/>
      <c r="J22" s="48" t="s">
        <v>149</v>
      </c>
      <c r="P22" s="133">
        <v>0.08</v>
      </c>
      <c r="Q22" s="136">
        <v>791273.16108467244</v>
      </c>
      <c r="V22" s="133">
        <v>0.08</v>
      </c>
      <c r="W22" s="136">
        <f t="shared" si="2"/>
        <v>791273.16108467244</v>
      </c>
    </row>
    <row r="23" spans="1:23">
      <c r="A23" s="53" t="s">
        <v>153</v>
      </c>
      <c r="B23" s="44"/>
      <c r="C23" s="44"/>
      <c r="D23" s="44"/>
      <c r="E23" s="44"/>
      <c r="J23" s="55" t="s">
        <v>154</v>
      </c>
      <c r="P23" s="133">
        <v>0.09</v>
      </c>
      <c r="Q23" s="136">
        <v>557841.39182714373</v>
      </c>
      <c r="V23" s="133">
        <v>0.09</v>
      </c>
      <c r="W23" s="136">
        <f t="shared" si="2"/>
        <v>557841.39182714373</v>
      </c>
    </row>
    <row r="24" spans="1:23">
      <c r="A24" s="53"/>
      <c r="I24" s="212" t="s">
        <v>155</v>
      </c>
      <c r="J24" s="212"/>
      <c r="P24" s="133">
        <v>0.1</v>
      </c>
      <c r="Q24" s="136">
        <v>332456.79939894564</v>
      </c>
      <c r="V24" s="133">
        <v>0.1</v>
      </c>
      <c r="W24" s="136">
        <f t="shared" si="2"/>
        <v>332456.79939894564</v>
      </c>
    </row>
    <row r="25" spans="1:23">
      <c r="P25" s="133">
        <v>0.11</v>
      </c>
      <c r="Q25" s="136">
        <v>114754.98689154722</v>
      </c>
      <c r="V25" s="133">
        <v>0.11</v>
      </c>
      <c r="W25" s="136">
        <f t="shared" si="2"/>
        <v>114754.98689154722</v>
      </c>
    </row>
    <row r="26" spans="1:23">
      <c r="P26" s="133">
        <v>0.12</v>
      </c>
      <c r="Q26" s="136">
        <v>-95608.35654415004</v>
      </c>
      <c r="V26" s="133">
        <v>0.12</v>
      </c>
      <c r="W26" s="136">
        <f t="shared" si="2"/>
        <v>-95608.35654415004</v>
      </c>
    </row>
    <row r="27" spans="1:23">
      <c r="P27" s="133">
        <v>0.13</v>
      </c>
      <c r="Q27" s="136">
        <v>-298958.74855649844</v>
      </c>
      <c r="V27" s="133">
        <v>0.13</v>
      </c>
      <c r="W27" s="136">
        <f t="shared" si="2"/>
        <v>-298958.74855649844</v>
      </c>
    </row>
    <row r="28" spans="1:23">
      <c r="P28" s="133">
        <v>0.14000000000000001</v>
      </c>
      <c r="Q28" s="136">
        <v>-495604.11182227172</v>
      </c>
      <c r="V28" s="133">
        <v>0.14000000000000001</v>
      </c>
      <c r="W28" s="136">
        <f t="shared" si="2"/>
        <v>-495604.11182227172</v>
      </c>
    </row>
    <row r="29" spans="1:23">
      <c r="P29" s="133">
        <v>0.15</v>
      </c>
      <c r="Q29" s="136">
        <v>-685835.88537776656</v>
      </c>
      <c r="V29" s="133">
        <v>0.15</v>
      </c>
      <c r="W29" s="136">
        <f t="shared" si="2"/>
        <v>-685835.88537776656</v>
      </c>
    </row>
    <row r="30" spans="1:23">
      <c r="K30" t="s">
        <v>370</v>
      </c>
      <c r="P30" s="133">
        <v>0.16</v>
      </c>
      <c r="Q30" s="136">
        <v>-869930.0560880322</v>
      </c>
      <c r="V30" s="133">
        <v>0.16</v>
      </c>
      <c r="W30" s="136">
        <f t="shared" si="2"/>
        <v>-869930.0560880322</v>
      </c>
    </row>
    <row r="33" spans="11:32">
      <c r="K33" t="s">
        <v>432</v>
      </c>
      <c r="L33" s="94">
        <v>10000000</v>
      </c>
    </row>
    <row r="35" spans="11:32">
      <c r="K35" t="s">
        <v>380</v>
      </c>
      <c r="L35" t="s">
        <v>378</v>
      </c>
      <c r="M35" t="s">
        <v>433</v>
      </c>
    </row>
    <row r="36" spans="11:32">
      <c r="K36">
        <v>0</v>
      </c>
      <c r="L36" s="94">
        <v>-10000000</v>
      </c>
      <c r="M36" s="136">
        <f>L36</f>
        <v>-10000000</v>
      </c>
    </row>
    <row r="37" spans="11:32">
      <c r="K37">
        <v>1</v>
      </c>
      <c r="L37" s="94">
        <v>2750000</v>
      </c>
      <c r="M37" s="136">
        <f>M36+L37</f>
        <v>-7250000</v>
      </c>
    </row>
    <row r="38" spans="11:32">
      <c r="K38">
        <v>2</v>
      </c>
      <c r="L38" s="94">
        <v>4250000</v>
      </c>
      <c r="M38" s="136">
        <f t="shared" ref="M38:M40" si="3">M37+L38</f>
        <v>-3000000</v>
      </c>
      <c r="N38" s="94">
        <f>-M38</f>
        <v>3000000</v>
      </c>
      <c r="O38">
        <v>2</v>
      </c>
      <c r="AE38" t="s">
        <v>369</v>
      </c>
      <c r="AF38" s="140">
        <v>0.11541278310055758</v>
      </c>
    </row>
    <row r="39" spans="11:32">
      <c r="K39">
        <v>3</v>
      </c>
      <c r="L39" s="94">
        <v>3250000</v>
      </c>
      <c r="M39" s="136">
        <f t="shared" si="3"/>
        <v>250000</v>
      </c>
      <c r="N39" s="94">
        <f>L39</f>
        <v>3250000</v>
      </c>
      <c r="O39">
        <f>N38/N39</f>
        <v>0.92307692307692313</v>
      </c>
    </row>
    <row r="40" spans="11:32">
      <c r="K40">
        <v>4</v>
      </c>
      <c r="L40" s="94">
        <v>2750000</v>
      </c>
      <c r="M40" s="136">
        <f t="shared" si="3"/>
        <v>3000000</v>
      </c>
    </row>
    <row r="42" spans="11:32">
      <c r="M42" t="s">
        <v>370</v>
      </c>
      <c r="O42">
        <f>SUM(O38:O41)</f>
        <v>2.9230769230769234</v>
      </c>
      <c r="P42" t="s">
        <v>434</v>
      </c>
    </row>
    <row r="46" spans="11:32">
      <c r="K46" t="s">
        <v>432</v>
      </c>
      <c r="L46" s="94">
        <v>10000000</v>
      </c>
    </row>
    <row r="48" spans="11:32">
      <c r="K48" t="s">
        <v>380</v>
      </c>
      <c r="L48" t="s">
        <v>378</v>
      </c>
      <c r="M48" t="s">
        <v>433</v>
      </c>
    </row>
    <row r="49" spans="11:15">
      <c r="K49">
        <v>1</v>
      </c>
      <c r="L49" s="94">
        <v>2750000</v>
      </c>
      <c r="M49" s="136">
        <f>L49</f>
        <v>2750000</v>
      </c>
    </row>
    <row r="50" spans="11:15">
      <c r="K50">
        <v>2</v>
      </c>
      <c r="L50" s="94">
        <v>4250000</v>
      </c>
      <c r="M50" s="136">
        <f>M49+L50</f>
        <v>7000000</v>
      </c>
      <c r="N50" s="94">
        <v>3000000</v>
      </c>
      <c r="O50">
        <v>2</v>
      </c>
    </row>
    <row r="51" spans="11:15">
      <c r="K51">
        <v>3</v>
      </c>
      <c r="L51" s="94">
        <v>3250000</v>
      </c>
      <c r="M51" s="136">
        <f t="shared" ref="M51:M52" si="4">M50+L51</f>
        <v>10250000</v>
      </c>
      <c r="N51" s="136">
        <f>L51</f>
        <v>3250000</v>
      </c>
      <c r="O51">
        <f>N50/N51</f>
        <v>0.92307692307692313</v>
      </c>
    </row>
    <row r="52" spans="11:15">
      <c r="K52">
        <v>4</v>
      </c>
      <c r="L52" s="94">
        <v>2750000</v>
      </c>
      <c r="M52" s="136">
        <f t="shared" si="4"/>
        <v>13000000</v>
      </c>
    </row>
    <row r="53" spans="11:15">
      <c r="M53" t="s">
        <v>370</v>
      </c>
      <c r="O53" s="139">
        <f>SUM(O50:O52)</f>
        <v>2.9230769230769234</v>
      </c>
    </row>
    <row r="57" spans="11:15">
      <c r="K57" t="s">
        <v>380</v>
      </c>
      <c r="L57" t="s">
        <v>383</v>
      </c>
      <c r="M57" t="s">
        <v>433</v>
      </c>
    </row>
    <row r="58" spans="11:15">
      <c r="K58">
        <v>0</v>
      </c>
      <c r="L58" s="94">
        <v>-10000000</v>
      </c>
      <c r="M58" s="136">
        <f>L58</f>
        <v>-10000000</v>
      </c>
    </row>
    <row r="59" spans="11:15">
      <c r="K59">
        <v>1</v>
      </c>
      <c r="L59" s="94">
        <v>2546296.2962962962</v>
      </c>
      <c r="M59" s="136">
        <f>M58+L59</f>
        <v>-7453703.7037037034</v>
      </c>
    </row>
    <row r="60" spans="11:15">
      <c r="K60">
        <v>2</v>
      </c>
      <c r="L60" s="94">
        <v>3643689.9862825787</v>
      </c>
      <c r="M60" s="136">
        <f t="shared" ref="M60:M62" si="5">M59+L60</f>
        <v>-3810013.7174211247</v>
      </c>
    </row>
    <row r="61" spans="11:15">
      <c r="K61">
        <v>3</v>
      </c>
      <c r="L61" s="94">
        <v>2579954.783315551</v>
      </c>
      <c r="M61" s="136">
        <f t="shared" si="5"/>
        <v>-1230058.9341055737</v>
      </c>
      <c r="N61" s="136">
        <f>-M61</f>
        <v>1230058.9341055737</v>
      </c>
      <c r="O61">
        <f>K61</f>
        <v>3</v>
      </c>
    </row>
    <row r="62" spans="11:15">
      <c r="K62">
        <v>4</v>
      </c>
      <c r="L62" s="94">
        <v>2021332.0951902466</v>
      </c>
      <c r="M62" s="136">
        <f t="shared" si="5"/>
        <v>791273.1610846729</v>
      </c>
      <c r="N62" s="136">
        <f>L62</f>
        <v>2021332.0951902466</v>
      </c>
      <c r="O62">
        <f>N61/N62</f>
        <v>0.60853876363636394</v>
      </c>
    </row>
    <row r="63" spans="11:15">
      <c r="L63" s="94"/>
    </row>
    <row r="64" spans="11:15">
      <c r="O64" s="139">
        <f>SUM(O61:O63)</f>
        <v>3.6085387636363642</v>
      </c>
    </row>
    <row r="66" spans="12:13">
      <c r="L66" t="s">
        <v>435</v>
      </c>
    </row>
    <row r="68" spans="12:13">
      <c r="L68" t="s">
        <v>436</v>
      </c>
      <c r="M68" t="s">
        <v>368</v>
      </c>
    </row>
  </sheetData>
  <mergeCells count="2">
    <mergeCell ref="A2:E2"/>
    <mergeCell ref="I24:J2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06DCB-28E3-4E23-AB20-67AD36A5F0F6}">
  <dimension ref="A1:L38"/>
  <sheetViews>
    <sheetView topLeftCell="A18" workbookViewId="0">
      <selection activeCell="B7" sqref="B7:E23"/>
    </sheetView>
  </sheetViews>
  <sheetFormatPr defaultColWidth="9.26953125" defaultRowHeight="15.5"/>
  <cols>
    <col min="1" max="1" width="9.26953125" style="57"/>
    <col min="2" max="2" width="39.7265625" style="57" customWidth="1"/>
    <col min="3" max="3" width="38.26953125" style="57" customWidth="1"/>
    <col min="4" max="4" width="31.453125" style="57" customWidth="1"/>
    <col min="5" max="5" width="26.26953125" style="57" customWidth="1"/>
    <col min="6" max="6" width="11.26953125" style="57" customWidth="1"/>
    <col min="7" max="16384" width="9.26953125" style="57"/>
  </cols>
  <sheetData>
    <row r="1" spans="1:11">
      <c r="A1" s="213" t="s">
        <v>156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</row>
    <row r="2" spans="1:11">
      <c r="A2" s="58" t="s">
        <v>157</v>
      </c>
      <c r="B2" s="59"/>
      <c r="C2" s="59"/>
      <c r="D2" s="59"/>
      <c r="E2" s="59"/>
      <c r="F2" s="1"/>
    </row>
    <row r="3" spans="1:11">
      <c r="A3" s="59" t="s">
        <v>158</v>
      </c>
      <c r="B3" s="59"/>
      <c r="C3" s="59"/>
      <c r="D3" s="59"/>
      <c r="E3" s="59"/>
      <c r="F3" s="1"/>
    </row>
    <row r="4" spans="1:11">
      <c r="A4" s="59" t="s">
        <v>159</v>
      </c>
      <c r="B4" s="59"/>
      <c r="C4" s="59"/>
      <c r="D4" s="59"/>
      <c r="E4" s="59"/>
      <c r="F4" s="1"/>
    </row>
    <row r="5" spans="1:11">
      <c r="B5" s="59"/>
      <c r="C5" s="59"/>
      <c r="D5" s="59"/>
      <c r="E5" s="59"/>
      <c r="F5" s="1"/>
    </row>
    <row r="6" spans="1:11">
      <c r="A6" s="59" t="s">
        <v>160</v>
      </c>
      <c r="B6" s="59"/>
      <c r="C6" s="59"/>
      <c r="D6" s="59"/>
      <c r="E6" s="59"/>
      <c r="F6" s="1"/>
    </row>
    <row r="7" spans="1:11">
      <c r="A7" s="59" t="s">
        <v>161</v>
      </c>
      <c r="B7" s="59"/>
      <c r="C7" s="59"/>
      <c r="D7" s="214" t="s">
        <v>88</v>
      </c>
      <c r="E7" s="214"/>
      <c r="F7" s="1"/>
    </row>
    <row r="8" spans="1:11">
      <c r="A8" s="59"/>
      <c r="B8" s="59"/>
      <c r="C8" s="60" t="s">
        <v>162</v>
      </c>
      <c r="D8" s="61" t="s">
        <v>163</v>
      </c>
      <c r="E8" s="60" t="s">
        <v>164</v>
      </c>
      <c r="F8" s="1"/>
    </row>
    <row r="9" spans="1:11">
      <c r="A9" s="59"/>
      <c r="B9" s="59"/>
      <c r="C9" s="62" t="s">
        <v>93</v>
      </c>
      <c r="F9" s="1"/>
    </row>
    <row r="10" spans="1:11">
      <c r="A10" s="59" t="s">
        <v>165</v>
      </c>
      <c r="B10" s="59"/>
      <c r="C10" s="63">
        <v>100000000</v>
      </c>
      <c r="D10" s="64">
        <v>-0.2</v>
      </c>
      <c r="E10" s="65" t="s">
        <v>166</v>
      </c>
      <c r="F10" s="1"/>
    </row>
    <row r="11" spans="1:11">
      <c r="A11" s="59" t="s">
        <v>167</v>
      </c>
      <c r="B11" s="59"/>
      <c r="C11" s="63">
        <v>20000000</v>
      </c>
      <c r="D11" s="65" t="s">
        <v>168</v>
      </c>
      <c r="E11" s="65" t="s">
        <v>169</v>
      </c>
      <c r="F11" s="1"/>
    </row>
    <row r="12" spans="1:11">
      <c r="A12" s="59" t="s">
        <v>170</v>
      </c>
      <c r="B12" s="59"/>
      <c r="C12" s="63">
        <v>15000000</v>
      </c>
      <c r="D12" s="65" t="s">
        <v>171</v>
      </c>
      <c r="E12" s="65" t="s">
        <v>172</v>
      </c>
      <c r="F12" s="1"/>
    </row>
    <row r="13" spans="1:11">
      <c r="A13" s="59" t="s">
        <v>173</v>
      </c>
      <c r="B13" s="59"/>
      <c r="C13" s="63">
        <v>140000000</v>
      </c>
      <c r="D13" s="65" t="s">
        <v>168</v>
      </c>
      <c r="E13" s="65" t="s">
        <v>174</v>
      </c>
      <c r="F13" s="1"/>
    </row>
    <row r="14" spans="1:11">
      <c r="A14" s="59" t="s">
        <v>175</v>
      </c>
      <c r="B14" s="59"/>
      <c r="C14" s="63">
        <v>60000000</v>
      </c>
      <c r="D14" s="65" t="s">
        <v>176</v>
      </c>
      <c r="E14" s="65" t="s">
        <v>177</v>
      </c>
      <c r="F14" s="1"/>
    </row>
    <row r="15" spans="1:11">
      <c r="A15" s="59" t="s">
        <v>178</v>
      </c>
      <c r="B15" s="59"/>
      <c r="C15" s="63">
        <v>40000000</v>
      </c>
      <c r="D15" s="65" t="s">
        <v>169</v>
      </c>
      <c r="E15" s="65" t="s">
        <v>168</v>
      </c>
      <c r="F15" s="1"/>
    </row>
    <row r="16" spans="1:11">
      <c r="A16" s="59"/>
      <c r="B16" s="59"/>
      <c r="C16" s="63"/>
      <c r="D16" s="65"/>
      <c r="E16" s="65"/>
      <c r="F16" s="1"/>
    </row>
    <row r="17" spans="1:12">
      <c r="A17" s="59" t="s">
        <v>179</v>
      </c>
      <c r="B17" s="59"/>
      <c r="C17" s="64">
        <v>0.3</v>
      </c>
      <c r="D17" s="65" t="s">
        <v>180</v>
      </c>
      <c r="E17" s="65" t="s">
        <v>180</v>
      </c>
      <c r="F17" s="1"/>
    </row>
    <row r="18" spans="1:12">
      <c r="A18" s="59" t="s">
        <v>181</v>
      </c>
      <c r="B18" s="59"/>
      <c r="C18" s="64">
        <v>0.05</v>
      </c>
      <c r="D18" s="65" t="s">
        <v>182</v>
      </c>
      <c r="E18" s="65" t="s">
        <v>183</v>
      </c>
      <c r="F18" s="1"/>
    </row>
    <row r="19" spans="1:12">
      <c r="A19" s="59" t="s">
        <v>184</v>
      </c>
      <c r="B19" s="59"/>
      <c r="C19" s="64">
        <v>0.3</v>
      </c>
      <c r="D19" s="64">
        <v>0.3</v>
      </c>
      <c r="E19" s="64">
        <v>0.3</v>
      </c>
      <c r="F19" s="1"/>
    </row>
    <row r="20" spans="1:12">
      <c r="A20" s="59"/>
      <c r="B20" s="59"/>
      <c r="C20" s="59"/>
      <c r="D20" s="66"/>
      <c r="E20" s="66"/>
      <c r="F20" s="1"/>
    </row>
    <row r="21" spans="1:12">
      <c r="A21" s="58" t="s">
        <v>67</v>
      </c>
      <c r="B21" s="59"/>
      <c r="C21" s="59"/>
      <c r="D21" s="66"/>
      <c r="E21" s="66"/>
      <c r="F21" s="1"/>
    </row>
    <row r="22" spans="1:12">
      <c r="A22" s="59" t="s">
        <v>185</v>
      </c>
      <c r="B22" s="59"/>
      <c r="C22" s="59"/>
      <c r="D22" s="59"/>
      <c r="E22" s="59"/>
      <c r="F22" s="1"/>
    </row>
    <row r="23" spans="1:12">
      <c r="A23" s="59" t="s">
        <v>186</v>
      </c>
      <c r="B23" s="59"/>
      <c r="C23" s="59"/>
      <c r="D23" s="59"/>
      <c r="E23" s="59"/>
      <c r="F23" s="1"/>
    </row>
    <row r="24" spans="1:12" ht="40.15" customHeight="1">
      <c r="A24" s="59" t="s">
        <v>187</v>
      </c>
      <c r="B24" s="59"/>
      <c r="C24" s="59"/>
      <c r="D24" s="59"/>
      <c r="E24" s="59"/>
      <c r="F24" s="1"/>
    </row>
    <row r="25" spans="1:12" ht="40.15" customHeight="1">
      <c r="A25" s="59" t="s">
        <v>188</v>
      </c>
      <c r="B25" s="59"/>
      <c r="C25" s="59"/>
      <c r="D25" s="59"/>
      <c r="E25" s="59"/>
      <c r="F25" s="1"/>
    </row>
    <row r="26" spans="1:12" ht="40.15" customHeight="1">
      <c r="A26" s="59" t="s">
        <v>189</v>
      </c>
      <c r="B26" s="59"/>
      <c r="C26" s="59"/>
      <c r="D26" s="59"/>
      <c r="E26" s="59"/>
      <c r="F26" s="1"/>
    </row>
    <row r="27" spans="1:12" ht="40.15" customHeight="1">
      <c r="A27" s="59" t="s">
        <v>190</v>
      </c>
      <c r="B27" s="59"/>
      <c r="C27" s="59"/>
      <c r="D27" s="59"/>
      <c r="E27" s="59"/>
      <c r="F27" s="1"/>
    </row>
    <row r="28" spans="1:12" ht="10.15" customHeight="1">
      <c r="A28" s="59"/>
      <c r="B28" s="59"/>
      <c r="C28" s="59"/>
      <c r="D28" s="59"/>
      <c r="E28" s="59"/>
      <c r="F28" s="1"/>
    </row>
    <row r="29" spans="1:12" ht="30" customHeight="1">
      <c r="A29" s="58" t="s">
        <v>56</v>
      </c>
      <c r="B29" s="59"/>
      <c r="C29" s="59"/>
      <c r="D29" s="59"/>
      <c r="E29" s="59"/>
      <c r="F29" s="1"/>
    </row>
    <row r="30" spans="1:12" ht="30" customHeight="1">
      <c r="A30" s="59" t="s">
        <v>191</v>
      </c>
      <c r="B30" s="59"/>
      <c r="C30" s="59"/>
      <c r="D30" s="59"/>
      <c r="E30" s="59"/>
      <c r="F30" s="1"/>
    </row>
    <row r="31" spans="1:12" ht="30" customHeight="1">
      <c r="A31" s="59" t="s">
        <v>192</v>
      </c>
      <c r="B31" s="59"/>
      <c r="C31" s="59"/>
      <c r="D31" s="59"/>
      <c r="F31" s="1"/>
      <c r="L31" s="67" t="s">
        <v>193</v>
      </c>
    </row>
    <row r="32" spans="1:12" ht="30" customHeight="1">
      <c r="A32" s="59" t="s">
        <v>194</v>
      </c>
      <c r="B32" s="59"/>
      <c r="C32" s="59"/>
      <c r="D32" s="59"/>
      <c r="F32" s="1"/>
      <c r="L32" s="67" t="s">
        <v>193</v>
      </c>
    </row>
    <row r="33" spans="1:12">
      <c r="B33" s="59"/>
      <c r="C33" s="59"/>
      <c r="D33" s="59"/>
      <c r="F33" s="1"/>
      <c r="L33" s="68" t="s">
        <v>155</v>
      </c>
    </row>
    <row r="34" spans="1:12">
      <c r="B34" s="59"/>
      <c r="C34" s="59"/>
      <c r="D34" s="59"/>
      <c r="F34" s="1"/>
    </row>
    <row r="35" spans="1:12">
      <c r="A35" s="215" t="s">
        <v>195</v>
      </c>
      <c r="B35" s="215"/>
      <c r="C35" s="215"/>
      <c r="D35" s="215"/>
      <c r="E35" s="215"/>
      <c r="F35" s="1"/>
    </row>
    <row r="36" spans="1:12" ht="12" customHeight="1">
      <c r="A36" s="215"/>
      <c r="B36" s="215"/>
      <c r="C36" s="215"/>
      <c r="D36" s="215"/>
      <c r="E36" s="215"/>
    </row>
    <row r="37" spans="1:12">
      <c r="B37" s="1"/>
      <c r="C37" s="1"/>
      <c r="D37" s="1"/>
      <c r="E37" s="1"/>
    </row>
    <row r="38" spans="1:12" ht="16.5" customHeight="1">
      <c r="A38" s="8"/>
    </row>
  </sheetData>
  <mergeCells count="3">
    <mergeCell ref="A1:K1"/>
    <mergeCell ref="D7:E7"/>
    <mergeCell ref="A35:E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41D5E-BC1E-4876-B24F-B5F27FB31DB3}">
  <sheetPr>
    <outlinePr summaryBelow="0"/>
  </sheetPr>
  <dimension ref="B1:K16"/>
  <sheetViews>
    <sheetView showGridLines="0" topLeftCell="A13" workbookViewId="0"/>
  </sheetViews>
  <sheetFormatPr defaultRowHeight="14.5" outlineLevelRow="1" outlineLevelCol="1"/>
  <cols>
    <col min="3" max="3" width="27.08984375" bestFit="1" customWidth="1"/>
    <col min="4" max="11" width="26.1796875" bestFit="1" customWidth="1" outlineLevel="1"/>
  </cols>
  <sheetData>
    <row r="1" spans="2:11" ht="15" thickBot="1"/>
    <row r="2" spans="2:11" ht="15.5">
      <c r="B2" s="151" t="s">
        <v>415</v>
      </c>
      <c r="C2" s="151"/>
      <c r="D2" s="156"/>
      <c r="E2" s="156"/>
      <c r="F2" s="156"/>
      <c r="G2" s="156"/>
      <c r="H2" s="156"/>
      <c r="I2" s="156"/>
      <c r="J2" s="156"/>
      <c r="K2" s="156"/>
    </row>
    <row r="3" spans="2:11" ht="15.5" collapsed="1">
      <c r="B3" s="150"/>
      <c r="C3" s="150"/>
      <c r="D3" s="157" t="s">
        <v>417</v>
      </c>
      <c r="E3" s="157" t="s">
        <v>406</v>
      </c>
      <c r="F3" s="157" t="s">
        <v>483</v>
      </c>
      <c r="G3" s="157" t="s">
        <v>484</v>
      </c>
      <c r="H3" s="157" t="s">
        <v>485</v>
      </c>
      <c r="I3" s="157" t="s">
        <v>486</v>
      </c>
      <c r="J3" s="157" t="s">
        <v>494</v>
      </c>
      <c r="K3" s="157" t="s">
        <v>507</v>
      </c>
    </row>
    <row r="4" spans="2:11" ht="21" hidden="1" outlineLevel="1">
      <c r="B4" s="153"/>
      <c r="C4" s="153"/>
      <c r="D4" s="146"/>
      <c r="E4" s="160" t="s">
        <v>493</v>
      </c>
      <c r="F4" s="160" t="s">
        <v>493</v>
      </c>
      <c r="G4" s="160" t="s">
        <v>493</v>
      </c>
      <c r="H4" s="160" t="s">
        <v>493</v>
      </c>
      <c r="I4" s="160" t="s">
        <v>509</v>
      </c>
      <c r="J4" s="160" t="s">
        <v>493</v>
      </c>
      <c r="K4" s="160" t="s">
        <v>493</v>
      </c>
    </row>
    <row r="5" spans="2:11">
      <c r="B5" s="154" t="s">
        <v>416</v>
      </c>
      <c r="C5" s="154"/>
      <c r="D5" s="152"/>
      <c r="E5" s="152"/>
      <c r="F5" s="152"/>
      <c r="G5" s="152"/>
      <c r="H5" s="152"/>
      <c r="I5" s="152"/>
      <c r="J5" s="152"/>
      <c r="K5" s="152"/>
    </row>
    <row r="6" spans="2:11" outlineLevel="1">
      <c r="B6" s="153"/>
      <c r="C6" s="153" t="s">
        <v>488</v>
      </c>
      <c r="D6" s="175">
        <v>40000000</v>
      </c>
      <c r="E6" s="177">
        <v>40000000</v>
      </c>
      <c r="F6" s="177">
        <v>42000000</v>
      </c>
      <c r="G6" s="177">
        <v>40000000</v>
      </c>
      <c r="H6" s="177">
        <v>40000000</v>
      </c>
      <c r="I6" s="177">
        <v>40000000</v>
      </c>
      <c r="J6" s="177">
        <v>40000000</v>
      </c>
      <c r="K6" s="177">
        <v>40000000</v>
      </c>
    </row>
    <row r="7" spans="2:11" outlineLevel="1">
      <c r="B7" s="153"/>
      <c r="C7" s="153" t="s">
        <v>489</v>
      </c>
      <c r="D7" s="175">
        <v>2500000</v>
      </c>
      <c r="E7" s="177">
        <v>2500000</v>
      </c>
      <c r="F7" s="177">
        <v>2500000</v>
      </c>
      <c r="G7" s="177">
        <v>2375000</v>
      </c>
      <c r="H7" s="177">
        <v>2500000</v>
      </c>
      <c r="I7" s="177">
        <v>2500000</v>
      </c>
      <c r="J7" s="177">
        <v>2500000</v>
      </c>
      <c r="K7" s="177">
        <v>2500000</v>
      </c>
    </row>
    <row r="8" spans="2:11" outlineLevel="1">
      <c r="B8" s="153"/>
      <c r="C8" s="153" t="s">
        <v>490</v>
      </c>
      <c r="D8" s="175">
        <v>1100</v>
      </c>
      <c r="E8" s="177">
        <v>1100</v>
      </c>
      <c r="F8" s="177">
        <v>1100</v>
      </c>
      <c r="G8" s="177">
        <v>1100</v>
      </c>
      <c r="H8" s="177">
        <v>1045</v>
      </c>
      <c r="I8" s="177">
        <v>1100</v>
      </c>
      <c r="J8" s="177">
        <v>1100</v>
      </c>
      <c r="K8" s="177">
        <v>1100</v>
      </c>
    </row>
    <row r="9" spans="2:11" outlineLevel="1">
      <c r="B9" s="153"/>
      <c r="C9" s="153" t="s">
        <v>491</v>
      </c>
      <c r="D9" s="175">
        <v>500</v>
      </c>
      <c r="E9" s="177">
        <v>500</v>
      </c>
      <c r="F9" s="177">
        <v>500</v>
      </c>
      <c r="G9" s="177">
        <v>500</v>
      </c>
      <c r="H9" s="177">
        <v>500</v>
      </c>
      <c r="I9" s="177">
        <v>525</v>
      </c>
      <c r="J9" s="177">
        <v>500</v>
      </c>
      <c r="K9" s="177">
        <v>500</v>
      </c>
    </row>
    <row r="10" spans="2:11" outlineLevel="1">
      <c r="B10" s="153"/>
      <c r="C10" s="153" t="s">
        <v>492</v>
      </c>
      <c r="D10" s="175">
        <v>5000000</v>
      </c>
      <c r="E10" s="177">
        <v>5000000</v>
      </c>
      <c r="F10" s="177">
        <v>5000000</v>
      </c>
      <c r="G10" s="177">
        <v>5000000</v>
      </c>
      <c r="H10" s="177">
        <v>5000000</v>
      </c>
      <c r="I10" s="177">
        <v>5000000</v>
      </c>
      <c r="J10" s="177">
        <v>5250000</v>
      </c>
      <c r="K10" s="177">
        <v>5000000</v>
      </c>
    </row>
    <row r="11" spans="2:11" outlineLevel="1">
      <c r="B11" s="153"/>
      <c r="C11" s="153" t="s">
        <v>508</v>
      </c>
      <c r="D11" s="175">
        <v>30000</v>
      </c>
      <c r="E11" s="177">
        <v>30000</v>
      </c>
      <c r="F11" s="177">
        <v>30000</v>
      </c>
      <c r="G11" s="177">
        <v>30000</v>
      </c>
      <c r="H11" s="177">
        <v>30000</v>
      </c>
      <c r="I11" s="177">
        <v>30000</v>
      </c>
      <c r="J11" s="177">
        <v>30000</v>
      </c>
      <c r="K11" s="177">
        <v>28500</v>
      </c>
    </row>
    <row r="12" spans="2:11">
      <c r="B12" s="154" t="s">
        <v>418</v>
      </c>
      <c r="C12" s="154"/>
      <c r="D12" s="152"/>
      <c r="E12" s="152"/>
      <c r="F12" s="152"/>
      <c r="G12" s="152"/>
      <c r="H12" s="152"/>
      <c r="I12" s="152"/>
      <c r="J12" s="152"/>
      <c r="K12" s="152"/>
    </row>
    <row r="13" spans="2:11" ht="15" outlineLevel="1" thickBot="1">
      <c r="B13" s="155"/>
      <c r="C13" s="155" t="s">
        <v>368</v>
      </c>
      <c r="D13" s="176">
        <v>8280657.7697815802</v>
      </c>
      <c r="E13" s="176">
        <v>8280657.7697815802</v>
      </c>
      <c r="F13" s="176">
        <v>6280657.7697815802</v>
      </c>
      <c r="G13" s="176">
        <v>8209729.4128167601</v>
      </c>
      <c r="H13" s="176">
        <v>2332777.03591232</v>
      </c>
      <c r="I13" s="176">
        <v>5577075.61802282</v>
      </c>
      <c r="J13" s="176">
        <v>7379463.7191953296</v>
      </c>
      <c r="K13" s="176">
        <v>5036359.18767107</v>
      </c>
    </row>
    <row r="14" spans="2:11">
      <c r="B14" t="s">
        <v>419</v>
      </c>
    </row>
    <row r="15" spans="2:11">
      <c r="B15" t="s">
        <v>420</v>
      </c>
    </row>
    <row r="16" spans="2:11">
      <c r="B16" t="s">
        <v>421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63B17-FDAC-429D-B7EE-C6B67DF96F31}">
  <dimension ref="A1:Q58"/>
  <sheetViews>
    <sheetView topLeftCell="A6" workbookViewId="0">
      <selection activeCell="Q67" sqref="Q67"/>
    </sheetView>
  </sheetViews>
  <sheetFormatPr defaultRowHeight="14.5"/>
  <cols>
    <col min="2" max="2" width="59.453125" customWidth="1"/>
    <col min="3" max="3" width="14.81640625" bestFit="1" customWidth="1"/>
    <col min="4" max="4" width="11.81640625" customWidth="1"/>
    <col min="5" max="5" width="10.26953125" bestFit="1" customWidth="1"/>
    <col min="7" max="7" width="44.7265625" customWidth="1"/>
    <col min="8" max="8" width="34.1796875" customWidth="1"/>
    <col min="9" max="9" width="15.90625" bestFit="1" customWidth="1"/>
    <col min="10" max="10" width="24.1796875" bestFit="1" customWidth="1"/>
    <col min="11" max="11" width="19.7265625" bestFit="1" customWidth="1"/>
    <col min="12" max="12" width="25.54296875" bestFit="1" customWidth="1"/>
    <col min="13" max="13" width="26.7265625" bestFit="1" customWidth="1"/>
    <col min="14" max="14" width="25" bestFit="1" customWidth="1"/>
    <col min="15" max="15" width="31" bestFit="1" customWidth="1"/>
    <col min="16" max="16" width="15.6328125" customWidth="1"/>
  </cols>
  <sheetData>
    <row r="1" spans="1:17" ht="15.5">
      <c r="A1" s="1"/>
      <c r="B1" s="8" t="s">
        <v>196</v>
      </c>
      <c r="C1" s="1"/>
    </row>
    <row r="2" spans="1:17" ht="15.5">
      <c r="A2" s="1"/>
      <c r="B2" s="1" t="s">
        <v>197</v>
      </c>
      <c r="C2" s="1"/>
      <c r="H2" t="s">
        <v>501</v>
      </c>
      <c r="I2" s="161" t="s">
        <v>406</v>
      </c>
      <c r="J2" s="8" t="s">
        <v>505</v>
      </c>
      <c r="K2" s="8" t="s">
        <v>506</v>
      </c>
      <c r="L2" s="8" t="s">
        <v>485</v>
      </c>
      <c r="M2" s="8" t="s">
        <v>486</v>
      </c>
      <c r="N2" s="8" t="s">
        <v>487</v>
      </c>
      <c r="O2" s="178" t="s">
        <v>507</v>
      </c>
    </row>
    <row r="3" spans="1:17" ht="15.5">
      <c r="A3" s="1"/>
      <c r="B3" s="1"/>
      <c r="C3" s="1"/>
      <c r="H3" s="1" t="s">
        <v>199</v>
      </c>
      <c r="I3" s="69">
        <v>40000000</v>
      </c>
      <c r="J3" s="179">
        <f>(1+5%)*I3</f>
        <v>42000000</v>
      </c>
      <c r="K3" s="138">
        <f>I3</f>
        <v>40000000</v>
      </c>
      <c r="L3" s="138">
        <f t="shared" ref="L3:O3" si="0">K$3</f>
        <v>40000000</v>
      </c>
      <c r="M3" s="138">
        <f t="shared" si="0"/>
        <v>40000000</v>
      </c>
      <c r="N3" s="138">
        <f t="shared" si="0"/>
        <v>40000000</v>
      </c>
      <c r="O3" s="138">
        <f t="shared" si="0"/>
        <v>40000000</v>
      </c>
    </row>
    <row r="4" spans="1:17" ht="15.5">
      <c r="A4" s="1"/>
      <c r="B4" s="1"/>
      <c r="C4" s="1" t="s">
        <v>198</v>
      </c>
      <c r="H4" s="1" t="s">
        <v>200</v>
      </c>
      <c r="I4" s="69">
        <v>2500000</v>
      </c>
      <c r="J4" s="138">
        <f>I$4</f>
        <v>2500000</v>
      </c>
      <c r="K4" s="179">
        <f>(1-5%)*I4</f>
        <v>2375000</v>
      </c>
      <c r="L4" s="138">
        <f>I4</f>
        <v>2500000</v>
      </c>
      <c r="M4" s="138">
        <f t="shared" ref="M4:O4" si="1">L$4</f>
        <v>2500000</v>
      </c>
      <c r="N4" s="138">
        <f t="shared" si="1"/>
        <v>2500000</v>
      </c>
      <c r="O4" s="138">
        <f t="shared" si="1"/>
        <v>2500000</v>
      </c>
    </row>
    <row r="5" spans="1:17" ht="15.5">
      <c r="A5" s="1"/>
      <c r="B5" s="1" t="s">
        <v>199</v>
      </c>
      <c r="C5" s="69">
        <v>40000000</v>
      </c>
      <c r="H5" s="1" t="s">
        <v>201</v>
      </c>
      <c r="I5" s="69">
        <v>1100</v>
      </c>
      <c r="J5" s="138">
        <f>I$5</f>
        <v>1100</v>
      </c>
      <c r="K5" s="138">
        <f t="shared" ref="K5:O5" si="2">J$5</f>
        <v>1100</v>
      </c>
      <c r="L5" s="179">
        <f>(1-5%)*I5</f>
        <v>1045</v>
      </c>
      <c r="M5" s="138">
        <f>I5</f>
        <v>1100</v>
      </c>
      <c r="N5" s="138">
        <f t="shared" si="2"/>
        <v>1100</v>
      </c>
      <c r="O5" s="138">
        <f t="shared" si="2"/>
        <v>1100</v>
      </c>
    </row>
    <row r="6" spans="1:17" ht="15.5">
      <c r="A6" s="1"/>
      <c r="B6" s="1" t="s">
        <v>200</v>
      </c>
      <c r="C6" s="69">
        <v>2500000</v>
      </c>
      <c r="H6" s="1" t="s">
        <v>202</v>
      </c>
      <c r="I6" s="69">
        <v>500</v>
      </c>
      <c r="J6" s="138">
        <f>I$6</f>
        <v>500</v>
      </c>
      <c r="K6" s="138">
        <f t="shared" ref="K6:O6" si="3">J$6</f>
        <v>500</v>
      </c>
      <c r="L6" s="138">
        <f t="shared" si="3"/>
        <v>500</v>
      </c>
      <c r="M6" s="179">
        <f>(1+5%)*I6</f>
        <v>525</v>
      </c>
      <c r="N6" s="138">
        <f>I6</f>
        <v>500</v>
      </c>
      <c r="O6" s="138">
        <f t="shared" si="3"/>
        <v>500</v>
      </c>
      <c r="Q6" s="1"/>
    </row>
    <row r="7" spans="1:17" ht="15.5">
      <c r="A7" s="1"/>
      <c r="B7" s="1" t="s">
        <v>201</v>
      </c>
      <c r="C7" s="69">
        <v>1100</v>
      </c>
      <c r="H7" s="1" t="s">
        <v>203</v>
      </c>
      <c r="I7" s="69">
        <v>5000000</v>
      </c>
      <c r="J7" s="138">
        <f>I$7</f>
        <v>5000000</v>
      </c>
      <c r="K7" s="138">
        <f t="shared" ref="K7:M7" si="4">J$7</f>
        <v>5000000</v>
      </c>
      <c r="L7" s="138">
        <f t="shared" si="4"/>
        <v>5000000</v>
      </c>
      <c r="M7" s="138">
        <f t="shared" si="4"/>
        <v>5000000</v>
      </c>
      <c r="N7" s="179">
        <f>(1+5%)*I7</f>
        <v>5250000</v>
      </c>
      <c r="O7" s="138">
        <f>I7</f>
        <v>5000000</v>
      </c>
    </row>
    <row r="8" spans="1:17" ht="15.5">
      <c r="A8" s="1"/>
      <c r="B8" s="1" t="s">
        <v>202</v>
      </c>
      <c r="C8" s="69">
        <v>500</v>
      </c>
      <c r="H8" t="s">
        <v>495</v>
      </c>
      <c r="I8" s="69">
        <v>30000</v>
      </c>
      <c r="J8" s="138">
        <f>I$8</f>
        <v>30000</v>
      </c>
      <c r="K8" s="138">
        <f t="shared" ref="K8:N8" si="5">J$8</f>
        <v>30000</v>
      </c>
      <c r="L8" s="138">
        <f t="shared" si="5"/>
        <v>30000</v>
      </c>
      <c r="M8" s="138">
        <f t="shared" si="5"/>
        <v>30000</v>
      </c>
      <c r="N8" s="138">
        <f t="shared" si="5"/>
        <v>30000</v>
      </c>
      <c r="O8" s="179">
        <f>(1-5%)*I8</f>
        <v>28500</v>
      </c>
    </row>
    <row r="9" spans="1:17" ht="15.5">
      <c r="A9" s="1"/>
      <c r="B9" s="1" t="s">
        <v>203</v>
      </c>
      <c r="C9" s="69">
        <v>5000000</v>
      </c>
      <c r="H9" s="1" t="s">
        <v>479</v>
      </c>
      <c r="I9" s="69">
        <v>5</v>
      </c>
      <c r="J9" s="69">
        <v>5</v>
      </c>
      <c r="K9" s="69">
        <v>5</v>
      </c>
      <c r="L9" s="69">
        <v>5</v>
      </c>
      <c r="M9" s="69">
        <v>5</v>
      </c>
      <c r="N9" s="69">
        <v>5</v>
      </c>
      <c r="O9" s="69">
        <v>5</v>
      </c>
    </row>
    <row r="10" spans="1:17" ht="15.5">
      <c r="A10" s="1"/>
      <c r="B10" s="1"/>
      <c r="C10" s="69"/>
      <c r="H10" s="1" t="s">
        <v>466</v>
      </c>
      <c r="I10" s="133">
        <v>0.12</v>
      </c>
      <c r="J10" s="133">
        <v>0.12</v>
      </c>
      <c r="K10" s="133">
        <v>0.12</v>
      </c>
      <c r="L10" s="133">
        <v>0.12</v>
      </c>
      <c r="M10" s="133">
        <v>0.12</v>
      </c>
      <c r="N10" s="133">
        <v>0.12</v>
      </c>
      <c r="O10" s="133">
        <v>0.12</v>
      </c>
    </row>
    <row r="11" spans="1:17" ht="15.5">
      <c r="A11" s="1"/>
      <c r="B11" s="8" t="s">
        <v>67</v>
      </c>
      <c r="C11" s="1"/>
    </row>
    <row r="12" spans="1:17" ht="15.5">
      <c r="A12" s="1"/>
      <c r="B12" s="1" t="s">
        <v>204</v>
      </c>
      <c r="C12" s="1"/>
      <c r="H12" s="1" t="s">
        <v>443</v>
      </c>
      <c r="I12" s="138">
        <f>I8*I5</f>
        <v>33000000</v>
      </c>
      <c r="J12" s="138">
        <f t="shared" ref="J12:O12" si="6">J8*J5</f>
        <v>33000000</v>
      </c>
      <c r="K12" s="138">
        <f t="shared" si="6"/>
        <v>33000000</v>
      </c>
      <c r="L12" s="138">
        <f t="shared" si="6"/>
        <v>31350000</v>
      </c>
      <c r="M12" s="138">
        <f t="shared" si="6"/>
        <v>33000000</v>
      </c>
      <c r="N12" s="138">
        <f t="shared" si="6"/>
        <v>33000000</v>
      </c>
      <c r="O12" s="138">
        <f t="shared" si="6"/>
        <v>31350000</v>
      </c>
    </row>
    <row r="13" spans="1:17" ht="15.5">
      <c r="A13" s="1"/>
      <c r="B13" s="1" t="s">
        <v>205</v>
      </c>
      <c r="C13" s="1"/>
      <c r="H13" s="1" t="s">
        <v>496</v>
      </c>
      <c r="I13" s="138">
        <f>I6*I8</f>
        <v>15000000</v>
      </c>
      <c r="J13" s="138">
        <f t="shared" ref="J13:O13" si="7">J6*J8</f>
        <v>15000000</v>
      </c>
      <c r="K13" s="138">
        <f t="shared" si="7"/>
        <v>15000000</v>
      </c>
      <c r="L13" s="138">
        <f t="shared" si="7"/>
        <v>15000000</v>
      </c>
      <c r="M13" s="138">
        <f t="shared" si="7"/>
        <v>15750000</v>
      </c>
      <c r="N13" s="138">
        <f t="shared" si="7"/>
        <v>15000000</v>
      </c>
      <c r="O13" s="138">
        <f t="shared" si="7"/>
        <v>14250000</v>
      </c>
    </row>
    <row r="14" spans="1:17" ht="15.5">
      <c r="A14" s="1"/>
      <c r="B14" s="1" t="s">
        <v>206</v>
      </c>
      <c r="C14" s="1"/>
      <c r="H14" s="1" t="s">
        <v>480</v>
      </c>
      <c r="I14" s="138">
        <f>I7</f>
        <v>5000000</v>
      </c>
      <c r="J14" s="138">
        <f t="shared" ref="J14:O14" si="8">J7</f>
        <v>5000000</v>
      </c>
      <c r="K14" s="138">
        <f t="shared" si="8"/>
        <v>5000000</v>
      </c>
      <c r="L14" s="138">
        <f t="shared" si="8"/>
        <v>5000000</v>
      </c>
      <c r="M14" s="138">
        <f t="shared" si="8"/>
        <v>5000000</v>
      </c>
      <c r="N14" s="138">
        <f t="shared" si="8"/>
        <v>5250000</v>
      </c>
      <c r="O14" s="138">
        <f t="shared" si="8"/>
        <v>5000000</v>
      </c>
    </row>
    <row r="15" spans="1:17" ht="15.5">
      <c r="A15" s="1"/>
      <c r="B15" s="1"/>
      <c r="C15" s="1"/>
      <c r="H15" s="1" t="s">
        <v>465</v>
      </c>
      <c r="I15" s="138">
        <f>I12-I13-I14</f>
        <v>13000000</v>
      </c>
      <c r="J15" s="138">
        <f t="shared" ref="J15:O15" si="9">J12-J13-J14</f>
        <v>13000000</v>
      </c>
      <c r="K15" s="138">
        <f t="shared" si="9"/>
        <v>13000000</v>
      </c>
      <c r="L15" s="138">
        <f t="shared" si="9"/>
        <v>11350000</v>
      </c>
      <c r="M15" s="138">
        <f t="shared" si="9"/>
        <v>12250000</v>
      </c>
      <c r="N15" s="138">
        <f t="shared" si="9"/>
        <v>12750000</v>
      </c>
      <c r="O15" s="138">
        <f t="shared" si="9"/>
        <v>12100000</v>
      </c>
    </row>
    <row r="16" spans="1:17" ht="15.5">
      <c r="A16" s="1"/>
      <c r="B16" s="8" t="s">
        <v>56</v>
      </c>
      <c r="C16" s="1"/>
      <c r="I16" s="138"/>
      <c r="J16" s="138"/>
      <c r="K16" s="138"/>
      <c r="L16" s="138"/>
      <c r="M16" s="138"/>
      <c r="N16" s="138"/>
      <c r="O16" s="138"/>
    </row>
    <row r="17" spans="1:15" ht="15.5">
      <c r="A17" s="1"/>
      <c r="B17" s="1" t="s">
        <v>207</v>
      </c>
      <c r="C17" s="1"/>
      <c r="H17" s="1" t="s">
        <v>481</v>
      </c>
      <c r="I17" s="138">
        <f>I15</f>
        <v>13000000</v>
      </c>
      <c r="J17" s="138">
        <f t="shared" ref="J17:O17" si="10">J15</f>
        <v>13000000</v>
      </c>
      <c r="K17" s="138">
        <f t="shared" si="10"/>
        <v>13000000</v>
      </c>
      <c r="L17" s="138">
        <f t="shared" si="10"/>
        <v>11350000</v>
      </c>
      <c r="M17" s="138">
        <f t="shared" si="10"/>
        <v>12250000</v>
      </c>
      <c r="N17" s="138">
        <f t="shared" si="10"/>
        <v>12750000</v>
      </c>
      <c r="O17" s="138">
        <f t="shared" si="10"/>
        <v>12100000</v>
      </c>
    </row>
    <row r="18" spans="1:15" ht="15.5">
      <c r="A18" s="1"/>
      <c r="B18" s="1"/>
      <c r="C18" s="1"/>
      <c r="H18" s="1" t="s">
        <v>482</v>
      </c>
      <c r="I18" s="138">
        <f>I4</f>
        <v>2500000</v>
      </c>
      <c r="J18" s="138">
        <f t="shared" ref="J18:O18" si="11">J4</f>
        <v>2500000</v>
      </c>
      <c r="K18" s="138">
        <f t="shared" si="11"/>
        <v>2375000</v>
      </c>
      <c r="L18" s="138">
        <f t="shared" si="11"/>
        <v>2500000</v>
      </c>
      <c r="M18" s="138">
        <f t="shared" si="11"/>
        <v>2500000</v>
      </c>
      <c r="N18" s="138">
        <f t="shared" si="11"/>
        <v>2500000</v>
      </c>
      <c r="O18" s="138">
        <f t="shared" si="11"/>
        <v>2500000</v>
      </c>
    </row>
    <row r="19" spans="1:15" ht="15.5">
      <c r="A19" s="1"/>
      <c r="B19" s="1" t="s">
        <v>208</v>
      </c>
      <c r="C19" s="1"/>
    </row>
    <row r="20" spans="1:15" ht="15.5">
      <c r="A20" s="1"/>
      <c r="B20" s="1"/>
      <c r="C20" s="1"/>
      <c r="H20" s="1" t="s">
        <v>502</v>
      </c>
      <c r="I20" s="138">
        <f>-PV(I10,I9,I17,0,0)</f>
        <v>46862090.630485088</v>
      </c>
      <c r="J20" s="138">
        <f t="shared" ref="J20:O20" si="12">-PV(J10,J9,J17,0,0)</f>
        <v>46862090.630485088</v>
      </c>
      <c r="K20" s="138">
        <f t="shared" si="12"/>
        <v>46862090.630485088</v>
      </c>
      <c r="L20" s="138">
        <f t="shared" si="12"/>
        <v>40914209.896615826</v>
      </c>
      <c r="M20" s="138">
        <f t="shared" si="12"/>
        <v>44158508.478726327</v>
      </c>
      <c r="N20" s="138">
        <f t="shared" si="12"/>
        <v>45960896.579898834</v>
      </c>
      <c r="O20" s="138">
        <f t="shared" si="12"/>
        <v>43617792.048374578</v>
      </c>
    </row>
    <row r="21" spans="1:15" ht="15.5">
      <c r="A21" s="1"/>
      <c r="B21" s="1"/>
      <c r="C21" s="1"/>
      <c r="H21" s="1" t="s">
        <v>503</v>
      </c>
      <c r="I21" s="138">
        <f>NPV(I10,0,0,0,0,I18)</f>
        <v>1418567.1392964977</v>
      </c>
      <c r="J21" s="138">
        <f t="shared" ref="J21:O21" si="13">NPV(J10,0,0,0,0,J18)</f>
        <v>1418567.1392964977</v>
      </c>
      <c r="K21" s="138">
        <f t="shared" si="13"/>
        <v>1347638.782331673</v>
      </c>
      <c r="L21" s="138">
        <f t="shared" si="13"/>
        <v>1418567.1392964977</v>
      </c>
      <c r="M21" s="138">
        <f t="shared" si="13"/>
        <v>1418567.1392964977</v>
      </c>
      <c r="N21" s="138">
        <f t="shared" si="13"/>
        <v>1418567.1392964977</v>
      </c>
      <c r="O21" s="138">
        <f t="shared" si="13"/>
        <v>1418567.1392964977</v>
      </c>
    </row>
    <row r="22" spans="1:15" ht="15.5">
      <c r="A22" s="1"/>
      <c r="B22" s="1" t="s">
        <v>209</v>
      </c>
      <c r="C22" s="1"/>
      <c r="H22" s="8" t="s">
        <v>504</v>
      </c>
      <c r="I22" s="138">
        <f>SUM(I20:I21)</f>
        <v>48280657.769781582</v>
      </c>
      <c r="J22" s="138">
        <f t="shared" ref="J22:O22" si="14">SUM(J20:J21)</f>
        <v>48280657.769781582</v>
      </c>
      <c r="K22" s="138">
        <f t="shared" si="14"/>
        <v>48209729.412816763</v>
      </c>
      <c r="L22" s="138">
        <f t="shared" si="14"/>
        <v>42332777.03591232</v>
      </c>
      <c r="M22" s="138">
        <f t="shared" si="14"/>
        <v>45577075.618022822</v>
      </c>
      <c r="N22" s="138">
        <f t="shared" si="14"/>
        <v>47379463.719195329</v>
      </c>
      <c r="O22" s="138">
        <f t="shared" si="14"/>
        <v>45036359.187671073</v>
      </c>
    </row>
    <row r="23" spans="1:15" ht="15.5">
      <c r="A23" s="1"/>
      <c r="B23" s="1"/>
      <c r="C23" s="1"/>
    </row>
    <row r="24" spans="1:15" ht="15.5">
      <c r="A24" s="1"/>
      <c r="B24" s="1" t="s">
        <v>210</v>
      </c>
      <c r="C24" s="1"/>
      <c r="H24" s="161" t="s">
        <v>368</v>
      </c>
      <c r="I24" s="174">
        <f>I22-I3</f>
        <v>8280657.7697815821</v>
      </c>
      <c r="J24" s="174">
        <f t="shared" ref="J24:O24" si="15">J22-J3</f>
        <v>6280657.7697815821</v>
      </c>
      <c r="K24" s="174">
        <f t="shared" si="15"/>
        <v>8209729.4128167629</v>
      </c>
      <c r="L24" s="174">
        <f t="shared" si="15"/>
        <v>2332777.03591232</v>
      </c>
      <c r="M24" s="174">
        <f t="shared" si="15"/>
        <v>5577075.6180228218</v>
      </c>
      <c r="N24" s="174">
        <f t="shared" si="15"/>
        <v>7379463.7191953287</v>
      </c>
      <c r="O24" s="174">
        <f t="shared" si="15"/>
        <v>5036359.1876710728</v>
      </c>
    </row>
    <row r="25" spans="1:15" ht="15.5">
      <c r="A25" s="1"/>
      <c r="B25" s="1"/>
      <c r="C25" s="1"/>
      <c r="I25" s="138"/>
      <c r="J25" s="138"/>
      <c r="K25" s="138"/>
      <c r="L25" s="138"/>
      <c r="M25" s="138"/>
      <c r="N25" s="138"/>
      <c r="O25" s="138"/>
    </row>
    <row r="26" spans="1:15" ht="15.5">
      <c r="A26" s="1"/>
      <c r="B26" s="1" t="s">
        <v>370</v>
      </c>
      <c r="C26" s="1"/>
    </row>
    <row r="27" spans="1:15" ht="15.5">
      <c r="A27" s="1"/>
      <c r="B27" s="1" t="s">
        <v>371</v>
      </c>
      <c r="C27" s="1"/>
    </row>
    <row r="28" spans="1:15" ht="15.5">
      <c r="A28" s="1"/>
      <c r="B28" s="1" t="s">
        <v>369</v>
      </c>
      <c r="C28" s="1"/>
      <c r="H28" t="s">
        <v>425</v>
      </c>
      <c r="I28">
        <v>0</v>
      </c>
      <c r="J28">
        <v>1</v>
      </c>
      <c r="K28">
        <v>2</v>
      </c>
      <c r="L28">
        <v>3</v>
      </c>
      <c r="M28">
        <v>4</v>
      </c>
      <c r="N28">
        <v>5</v>
      </c>
    </row>
    <row r="29" spans="1:15" ht="15.5">
      <c r="A29" s="1"/>
      <c r="B29" s="1" t="s">
        <v>368</v>
      </c>
      <c r="C29" s="1"/>
      <c r="H29" t="s">
        <v>443</v>
      </c>
      <c r="I29" s="69"/>
      <c r="J29" s="69">
        <f t="shared" ref="J29:N29" si="16">$I$8*$I$5</f>
        <v>33000000</v>
      </c>
      <c r="K29" s="69">
        <f t="shared" si="16"/>
        <v>33000000</v>
      </c>
      <c r="L29" s="69">
        <f t="shared" si="16"/>
        <v>33000000</v>
      </c>
      <c r="M29" s="69">
        <f t="shared" si="16"/>
        <v>33000000</v>
      </c>
      <c r="N29" s="69">
        <f t="shared" si="16"/>
        <v>33000000</v>
      </c>
    </row>
    <row r="30" spans="1:15" ht="15.5">
      <c r="A30" s="1"/>
      <c r="B30" s="1"/>
      <c r="C30" s="1"/>
      <c r="H30" t="s">
        <v>496</v>
      </c>
      <c r="I30" s="69"/>
      <c r="J30" s="69">
        <f>$I$6*$I$8</f>
        <v>15000000</v>
      </c>
      <c r="K30" s="69">
        <f t="shared" ref="K30:N30" si="17">$I$6*$I$8</f>
        <v>15000000</v>
      </c>
      <c r="L30" s="69">
        <f t="shared" si="17"/>
        <v>15000000</v>
      </c>
      <c r="M30" s="69">
        <f t="shared" si="17"/>
        <v>15000000</v>
      </c>
      <c r="N30" s="69">
        <f t="shared" si="17"/>
        <v>15000000</v>
      </c>
    </row>
    <row r="31" spans="1:15" ht="15.5">
      <c r="A31" s="1"/>
      <c r="B31" s="1"/>
      <c r="C31" s="1"/>
      <c r="H31" t="s">
        <v>497</v>
      </c>
      <c r="I31" s="69"/>
      <c r="J31" s="69">
        <f>J29-J30</f>
        <v>18000000</v>
      </c>
      <c r="K31" s="69">
        <f t="shared" ref="K31:N31" si="18">K29-K30</f>
        <v>18000000</v>
      </c>
      <c r="L31" s="69">
        <f t="shared" si="18"/>
        <v>18000000</v>
      </c>
      <c r="M31" s="69">
        <f t="shared" si="18"/>
        <v>18000000</v>
      </c>
      <c r="N31" s="69">
        <f t="shared" si="18"/>
        <v>18000000</v>
      </c>
    </row>
    <row r="32" spans="1:15" ht="15.5">
      <c r="A32" s="1"/>
      <c r="B32" s="1"/>
      <c r="C32" s="1"/>
      <c r="H32" t="s">
        <v>480</v>
      </c>
      <c r="I32" s="69"/>
      <c r="J32" s="69">
        <f>$I$7</f>
        <v>5000000</v>
      </c>
      <c r="K32" s="69">
        <f t="shared" ref="K32:N32" si="19">$I$7</f>
        <v>5000000</v>
      </c>
      <c r="L32" s="69">
        <f t="shared" si="19"/>
        <v>5000000</v>
      </c>
      <c r="M32" s="69">
        <f t="shared" si="19"/>
        <v>5000000</v>
      </c>
      <c r="N32" s="69">
        <f t="shared" si="19"/>
        <v>5000000</v>
      </c>
    </row>
    <row r="33" spans="1:16" ht="15.5" hidden="1">
      <c r="A33" s="1"/>
      <c r="B33" s="1"/>
      <c r="C33" s="1"/>
      <c r="I33" s="69"/>
      <c r="J33" s="69"/>
      <c r="K33" s="69"/>
      <c r="L33" s="69"/>
      <c r="M33" s="69"/>
      <c r="N33" s="69"/>
    </row>
    <row r="34" spans="1:16" ht="15.5">
      <c r="A34" s="1"/>
      <c r="B34" s="1"/>
      <c r="C34" s="1"/>
      <c r="H34" t="s">
        <v>498</v>
      </c>
      <c r="I34" s="69"/>
      <c r="J34" s="69">
        <f>J31-J32</f>
        <v>13000000</v>
      </c>
      <c r="K34" s="69">
        <f t="shared" ref="K34:N34" si="20">K31-K32</f>
        <v>13000000</v>
      </c>
      <c r="L34" s="69">
        <f t="shared" si="20"/>
        <v>13000000</v>
      </c>
      <c r="M34" s="69">
        <f t="shared" si="20"/>
        <v>13000000</v>
      </c>
      <c r="N34" s="69">
        <f t="shared" si="20"/>
        <v>13000000</v>
      </c>
    </row>
    <row r="35" spans="1:16" ht="15.5">
      <c r="A35" s="1"/>
      <c r="B35" s="1"/>
      <c r="C35" s="1"/>
      <c r="H35" t="s">
        <v>499</v>
      </c>
      <c r="I35" s="69"/>
      <c r="J35" s="69"/>
      <c r="K35" s="69"/>
      <c r="L35" s="69"/>
      <c r="M35" s="69"/>
      <c r="N35" s="69">
        <f>$I$4</f>
        <v>2500000</v>
      </c>
    </row>
    <row r="36" spans="1:16" ht="15.5">
      <c r="A36" s="1"/>
      <c r="B36" s="1"/>
      <c r="C36" s="1"/>
      <c r="H36" t="s">
        <v>500</v>
      </c>
      <c r="I36" s="143">
        <f>-I3</f>
        <v>-40000000</v>
      </c>
      <c r="J36" s="69"/>
      <c r="K36" s="69"/>
      <c r="L36" s="69"/>
      <c r="M36" s="69"/>
      <c r="N36" s="69"/>
    </row>
    <row r="37" spans="1:16" ht="15.5">
      <c r="A37" s="1"/>
      <c r="B37" s="1"/>
      <c r="C37" s="1"/>
      <c r="H37" t="s">
        <v>465</v>
      </c>
      <c r="I37" s="143">
        <f>SUM(I34:I36)</f>
        <v>-40000000</v>
      </c>
      <c r="J37" s="69">
        <f t="shared" ref="J37:N37" si="21">SUM(J34:J36)</f>
        <v>13000000</v>
      </c>
      <c r="K37" s="69">
        <f t="shared" si="21"/>
        <v>13000000</v>
      </c>
      <c r="L37" s="69">
        <f t="shared" si="21"/>
        <v>13000000</v>
      </c>
      <c r="M37" s="69">
        <f t="shared" si="21"/>
        <v>13000000</v>
      </c>
      <c r="N37" s="69">
        <f t="shared" si="21"/>
        <v>15500000</v>
      </c>
    </row>
    <row r="38" spans="1:16" ht="15.5">
      <c r="A38" s="1"/>
      <c r="B38" s="1"/>
      <c r="C38" s="1"/>
      <c r="I38" s="69"/>
      <c r="J38" s="69"/>
      <c r="K38" s="69"/>
      <c r="L38" s="69"/>
      <c r="M38" s="69"/>
      <c r="N38" s="69"/>
    </row>
    <row r="39" spans="1:16" ht="15.5">
      <c r="H39" t="s">
        <v>368</v>
      </c>
      <c r="I39" s="69">
        <f>NPV(I10,J37:N37)+I37</f>
        <v>8280657.7697815597</v>
      </c>
      <c r="J39" s="69" t="s">
        <v>387</v>
      </c>
      <c r="K39" s="69"/>
      <c r="L39" s="69"/>
      <c r="M39" s="69"/>
      <c r="N39" s="69"/>
    </row>
    <row r="40" spans="1:16" ht="15.5">
      <c r="I40" s="69"/>
      <c r="J40" s="69"/>
      <c r="K40" s="69"/>
      <c r="L40" s="69"/>
      <c r="M40" s="69"/>
      <c r="N40" s="69"/>
    </row>
    <row r="41" spans="1:16" ht="15.5">
      <c r="I41" s="69"/>
      <c r="J41" s="69"/>
      <c r="K41" s="69"/>
      <c r="L41" s="69"/>
      <c r="M41" s="69"/>
      <c r="N41" s="69"/>
    </row>
    <row r="42" spans="1:16" ht="15.5">
      <c r="H42" s="150"/>
      <c r="I42" s="157" t="s">
        <v>417</v>
      </c>
      <c r="J42" s="157" t="s">
        <v>406</v>
      </c>
      <c r="K42" s="157" t="s">
        <v>483</v>
      </c>
      <c r="L42" s="157" t="s">
        <v>484</v>
      </c>
      <c r="M42" s="157" t="s">
        <v>485</v>
      </c>
      <c r="N42" s="157" t="s">
        <v>486</v>
      </c>
      <c r="O42" s="157" t="s">
        <v>494</v>
      </c>
      <c r="P42" s="157" t="s">
        <v>507</v>
      </c>
    </row>
    <row r="43" spans="1:16" ht="21">
      <c r="H43" s="153"/>
      <c r="I43" s="146"/>
      <c r="J43" s="160" t="s">
        <v>493</v>
      </c>
      <c r="K43" s="160" t="s">
        <v>493</v>
      </c>
      <c r="L43" s="160" t="s">
        <v>493</v>
      </c>
      <c r="M43" s="160" t="s">
        <v>493</v>
      </c>
      <c r="N43" s="160" t="s">
        <v>493</v>
      </c>
      <c r="O43" s="160" t="s">
        <v>493</v>
      </c>
      <c r="P43" s="160" t="s">
        <v>493</v>
      </c>
    </row>
    <row r="44" spans="1:16">
      <c r="H44" s="154"/>
      <c r="I44" s="152"/>
      <c r="J44" s="152"/>
      <c r="K44" s="152"/>
      <c r="L44" s="152"/>
      <c r="M44" s="152"/>
      <c r="N44" s="152"/>
      <c r="O44" s="152"/>
      <c r="P44" s="152"/>
    </row>
    <row r="45" spans="1:16">
      <c r="H45" s="153" t="s">
        <v>488</v>
      </c>
      <c r="I45" s="175">
        <v>40000000</v>
      </c>
      <c r="J45" s="177">
        <v>40000000</v>
      </c>
      <c r="K45" s="177">
        <v>42000000</v>
      </c>
      <c r="L45" s="177">
        <v>40000000</v>
      </c>
      <c r="M45" s="177">
        <v>40000000</v>
      </c>
      <c r="N45" s="177">
        <v>40000000</v>
      </c>
      <c r="O45" s="177">
        <v>40000000</v>
      </c>
      <c r="P45" s="177">
        <v>40000000</v>
      </c>
    </row>
    <row r="46" spans="1:16">
      <c r="H46" s="153" t="s">
        <v>489</v>
      </c>
      <c r="I46" s="175">
        <v>2500000</v>
      </c>
      <c r="J46" s="177">
        <v>2500000</v>
      </c>
      <c r="K46" s="177">
        <v>2500000</v>
      </c>
      <c r="L46" s="177">
        <v>2375000</v>
      </c>
      <c r="M46" s="177">
        <v>2500000</v>
      </c>
      <c r="N46" s="177">
        <v>2500000</v>
      </c>
      <c r="O46" s="177">
        <v>2500000</v>
      </c>
      <c r="P46" s="177">
        <v>2500000</v>
      </c>
    </row>
    <row r="47" spans="1:16">
      <c r="H47" s="153" t="s">
        <v>490</v>
      </c>
      <c r="I47" s="175">
        <v>1100</v>
      </c>
      <c r="J47" s="177">
        <v>1100</v>
      </c>
      <c r="K47" s="177">
        <v>1100</v>
      </c>
      <c r="L47" s="177">
        <v>1100</v>
      </c>
      <c r="M47" s="177">
        <v>1045</v>
      </c>
      <c r="N47" s="177">
        <v>1100</v>
      </c>
      <c r="O47" s="177">
        <v>1100</v>
      </c>
      <c r="P47" s="177">
        <v>1100</v>
      </c>
    </row>
    <row r="48" spans="1:16">
      <c r="H48" s="153" t="s">
        <v>491</v>
      </c>
      <c r="I48" s="175">
        <v>500</v>
      </c>
      <c r="J48" s="177">
        <v>500</v>
      </c>
      <c r="K48" s="177">
        <v>500</v>
      </c>
      <c r="L48" s="177">
        <v>500</v>
      </c>
      <c r="M48" s="177">
        <v>500</v>
      </c>
      <c r="N48" s="177">
        <v>525</v>
      </c>
      <c r="O48" s="177">
        <v>500</v>
      </c>
      <c r="P48" s="177">
        <v>500</v>
      </c>
    </row>
    <row r="49" spans="7:16">
      <c r="H49" s="153" t="s">
        <v>492</v>
      </c>
      <c r="I49" s="175">
        <v>5000000</v>
      </c>
      <c r="J49" s="177">
        <v>5000000</v>
      </c>
      <c r="K49" s="177">
        <v>5000000</v>
      </c>
      <c r="L49" s="177">
        <v>5000000</v>
      </c>
      <c r="M49" s="177">
        <v>5000000</v>
      </c>
      <c r="N49" s="177">
        <v>5000000</v>
      </c>
      <c r="O49" s="177">
        <v>5250000</v>
      </c>
      <c r="P49" s="177">
        <v>5000000</v>
      </c>
    </row>
    <row r="50" spans="7:16">
      <c r="H50" s="153" t="s">
        <v>508</v>
      </c>
      <c r="I50" s="175">
        <v>30000</v>
      </c>
      <c r="J50" s="177">
        <v>30000</v>
      </c>
      <c r="K50" s="177">
        <v>30000</v>
      </c>
      <c r="L50" s="177">
        <v>30000</v>
      </c>
      <c r="M50" s="177">
        <v>30000</v>
      </c>
      <c r="N50" s="177">
        <v>30000</v>
      </c>
      <c r="O50" s="177">
        <v>30000</v>
      </c>
      <c r="P50" s="177">
        <v>28500</v>
      </c>
    </row>
    <row r="51" spans="7:16">
      <c r="H51" s="154"/>
      <c r="I51" s="152"/>
      <c r="J51" s="152"/>
      <c r="K51" s="152"/>
      <c r="L51" s="152"/>
      <c r="M51" s="152"/>
      <c r="N51" s="152"/>
      <c r="O51" s="152"/>
      <c r="P51" s="152"/>
    </row>
    <row r="52" spans="7:16" ht="15" thickBot="1">
      <c r="H52" s="155" t="s">
        <v>368</v>
      </c>
      <c r="I52" s="176">
        <v>8280657.7697815802</v>
      </c>
      <c r="J52" s="176">
        <v>8280657.7697815802</v>
      </c>
      <c r="K52" s="176">
        <v>6280657.7697815802</v>
      </c>
      <c r="L52" s="176">
        <v>8209729.4128167601</v>
      </c>
      <c r="M52" s="176">
        <v>2332777.03591232</v>
      </c>
      <c r="N52" s="176">
        <v>5577075.61802282</v>
      </c>
      <c r="O52" s="176">
        <v>7379463.7191953296</v>
      </c>
      <c r="P52" s="176">
        <v>5036359.18767107</v>
      </c>
    </row>
    <row r="55" spans="7:16">
      <c r="G55" t="s">
        <v>510</v>
      </c>
    </row>
    <row r="57" spans="7:16">
      <c r="H57" t="s">
        <v>425</v>
      </c>
      <c r="I57" t="str">
        <f>I2</f>
        <v>Base</v>
      </c>
      <c r="J57" t="str">
        <f t="shared" ref="J57:O57" si="22">J2</f>
        <v>Initial capital cost   +5%</v>
      </c>
      <c r="K57" t="str">
        <f t="shared" si="22"/>
        <v xml:space="preserve">Residual value -5% </v>
      </c>
      <c r="L57" t="str">
        <f t="shared" si="22"/>
        <v>Selling price per unit -5%</v>
      </c>
      <c r="M57" t="str">
        <f t="shared" si="22"/>
        <v>Variable cost per unit +5%</v>
      </c>
      <c r="N57" t="str">
        <f t="shared" si="22"/>
        <v>Fixed costs per year +5%</v>
      </c>
      <c r="O57" t="str">
        <f t="shared" si="22"/>
        <v>Annual number of units sold -5%</v>
      </c>
    </row>
    <row r="58" spans="7:16">
      <c r="H58" t="s">
        <v>368</v>
      </c>
      <c r="I58">
        <f>NPV</f>
        <v>8280657.7697815821</v>
      </c>
      <c r="J58" s="138">
        <f>J24</f>
        <v>6280657.7697815821</v>
      </c>
      <c r="K58" s="138">
        <f t="shared" ref="K58:O58" si="23">K24</f>
        <v>8209729.4128167629</v>
      </c>
      <c r="L58" s="138">
        <f t="shared" si="23"/>
        <v>2332777.03591232</v>
      </c>
      <c r="M58" s="138">
        <f t="shared" si="23"/>
        <v>5577075.6180228218</v>
      </c>
      <c r="N58" s="138">
        <f t="shared" si="23"/>
        <v>7379463.7191953287</v>
      </c>
      <c r="O58" s="138">
        <f t="shared" si="23"/>
        <v>5036359.1876710728</v>
      </c>
    </row>
  </sheetData>
  <scenarios current="6" show="0" sqref="I24">
    <scenario name="Base" locked="1" count="6" user="ADMIN" comment="Created by ADMIN on 29/10/2025">
      <inputCells r="I3" val="40000000" numFmtId="167"/>
      <inputCells r="I4" val="2500000" numFmtId="167"/>
      <inputCells r="I5" val="1100" numFmtId="167"/>
      <inputCells r="I6" val="500" numFmtId="167"/>
      <inputCells r="I7" val="5000000" numFmtId="167"/>
      <inputCells r="I8" val="30000" numFmtId="167"/>
    </scenario>
    <scenario name="Initial capital cost +5%" locked="1" count="6" user="ADMIN" comment="Created by ADMIN on 29/10/2025">
      <inputCells r="I3" val="42000000" numFmtId="167"/>
      <inputCells r="I4" val="2500000" numFmtId="167"/>
      <inputCells r="I5" val="1100" numFmtId="167"/>
      <inputCells r="I6" val="500" numFmtId="167"/>
      <inputCells r="I7" val="5000000" numFmtId="167"/>
      <inputCells r="I8" val="30000" numFmtId="167"/>
    </scenario>
    <scenario name="Residual value -5%" locked="1" count="6" user="ADMIN" comment="Created by ADMIN on 29/10/2025">
      <inputCells r="I3" val="40000000" numFmtId="167"/>
      <inputCells r="I4" val="2375000" numFmtId="167"/>
      <inputCells r="I5" val="1100" numFmtId="167"/>
      <inputCells r="I6" val="500" numFmtId="167"/>
      <inputCells r="I7" val="5000000" numFmtId="167"/>
      <inputCells r="I8" val="30000" numFmtId="167"/>
    </scenario>
    <scenario name="Selling price per unit -5%" locked="1" count="6" user="ADMIN" comment="Created by ADMIN on 29/10/2025">
      <inputCells r="I3" val="40000000" numFmtId="167"/>
      <inputCells r="I4" val="2500000" numFmtId="167"/>
      <inputCells r="I5" val="1045" numFmtId="167"/>
      <inputCells r="I6" val="500" numFmtId="167"/>
      <inputCells r="I7" val="5000000" numFmtId="167"/>
      <inputCells r="I8" val="30000" numFmtId="167"/>
    </scenario>
    <scenario name="Variable cost per unit +5%" locked="1" count="6" user="ADMIN" comment="Created by ADMIN on 29/10/2025_x000a_Modified by ADMIN on 29/10/2025">
      <inputCells r="I3" val="40000000" numFmtId="167"/>
      <inputCells r="I4" val="2500000" numFmtId="167"/>
      <inputCells r="I5" val="1100" numFmtId="167"/>
      <inputCells r="I6" val="525" numFmtId="167"/>
      <inputCells r="I7" val="5000000" numFmtId="167"/>
      <inputCells r="I8" val="30000" numFmtId="167"/>
    </scenario>
    <scenario name="Fixed cost per year +5%" locked="1" count="6" user="ADMIN" comment="Created by ADMIN on 29/10/2025">
      <inputCells r="I3" val="40000000" numFmtId="167"/>
      <inputCells r="I4" val="2500000" numFmtId="167"/>
      <inputCells r="I5" val="1100" numFmtId="167"/>
      <inputCells r="I6" val="500" numFmtId="167"/>
      <inputCells r="I7" val="5250000" numFmtId="167"/>
      <inputCells r="I8" val="30000" numFmtId="167"/>
    </scenario>
    <scenario name="Annual number of units sold -5%" locked="1" count="6" user="ADMIN" comment="Created by ADMIN on 29/10/2025">
      <inputCells r="I3" val="40000000" numFmtId="167"/>
      <inputCells r="I4" val="2500000" numFmtId="167"/>
      <inputCells r="I5" val="1100" numFmtId="167"/>
      <inputCells r="I6" val="500" numFmtId="167"/>
      <inputCells r="I7" val="5000000" numFmtId="167"/>
      <inputCells r="I8" val="28500" numFmtId="167"/>
    </scenario>
  </scenario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2D7A2-1616-4A26-84E8-C433836C5161}">
  <dimension ref="A1:J39"/>
  <sheetViews>
    <sheetView topLeftCell="A7" workbookViewId="0">
      <selection activeCell="E16" sqref="E16"/>
    </sheetView>
  </sheetViews>
  <sheetFormatPr defaultColWidth="9.1796875" defaultRowHeight="15.5"/>
  <cols>
    <col min="1" max="1" width="23.54296875" style="2" customWidth="1"/>
    <col min="2" max="2" width="25" style="2" customWidth="1"/>
    <col min="3" max="3" width="24.26953125" style="2" customWidth="1"/>
    <col min="4" max="16384" width="9.1796875" style="2"/>
  </cols>
  <sheetData>
    <row r="1" spans="1:10">
      <c r="A1" s="216" t="s">
        <v>196</v>
      </c>
      <c r="B1" s="216"/>
      <c r="C1" s="216"/>
      <c r="D1" s="216"/>
      <c r="E1" s="216"/>
      <c r="F1" s="216"/>
      <c r="G1" s="216"/>
    </row>
    <row r="2" spans="1:10">
      <c r="A2" s="1" t="s">
        <v>211</v>
      </c>
      <c r="B2" s="1"/>
      <c r="C2" s="1"/>
      <c r="D2" s="1"/>
      <c r="E2" s="1"/>
      <c r="F2" s="1"/>
      <c r="G2" s="1"/>
      <c r="H2" s="1"/>
      <c r="I2" s="1"/>
      <c r="J2" s="1"/>
    </row>
    <row r="3" spans="1:10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>
      <c r="A4" s="1" t="s">
        <v>212</v>
      </c>
      <c r="B4" s="1"/>
      <c r="C4" s="35" t="s">
        <v>213</v>
      </c>
      <c r="D4" s="70"/>
      <c r="E4" s="70"/>
      <c r="F4" s="70"/>
      <c r="G4" s="70"/>
    </row>
    <row r="5" spans="1:10">
      <c r="A5" s="1" t="s">
        <v>214</v>
      </c>
      <c r="B5" s="1"/>
      <c r="C5" s="35" t="s">
        <v>215</v>
      </c>
      <c r="D5" s="70"/>
      <c r="E5" s="70"/>
      <c r="F5" s="70"/>
      <c r="G5" s="70"/>
    </row>
    <row r="6" spans="1:10">
      <c r="A6" s="1" t="s">
        <v>216</v>
      </c>
      <c r="B6" s="1"/>
      <c r="C6" s="35" t="s">
        <v>217</v>
      </c>
      <c r="D6" s="70"/>
      <c r="E6" s="70"/>
      <c r="F6" s="70"/>
      <c r="G6" s="70"/>
    </row>
    <row r="7" spans="1:10">
      <c r="A7" s="1" t="s">
        <v>218</v>
      </c>
      <c r="B7" s="1"/>
      <c r="C7" s="30">
        <v>0.1</v>
      </c>
      <c r="D7" s="70"/>
      <c r="E7" s="70"/>
      <c r="F7" s="70"/>
      <c r="G7" s="70"/>
    </row>
    <row r="8" spans="1:10">
      <c r="A8" s="1" t="s">
        <v>219</v>
      </c>
      <c r="B8" s="1"/>
      <c r="C8" s="71" t="s">
        <v>220</v>
      </c>
      <c r="D8" s="70"/>
      <c r="E8" s="70"/>
      <c r="F8" s="70"/>
      <c r="G8" s="70"/>
    </row>
    <row r="9" spans="1:10">
      <c r="A9" s="1"/>
      <c r="B9" s="1"/>
      <c r="C9" s="1"/>
      <c r="D9" s="70"/>
      <c r="E9" s="70"/>
      <c r="F9" s="70"/>
      <c r="G9" s="70"/>
    </row>
    <row r="10" spans="1:10">
      <c r="A10" s="8" t="s">
        <v>56</v>
      </c>
      <c r="B10" s="1"/>
      <c r="C10" s="1"/>
      <c r="D10" s="70"/>
      <c r="E10" s="70"/>
      <c r="F10" s="70"/>
      <c r="G10" s="70"/>
    </row>
    <row r="11" spans="1:10">
      <c r="A11" s="1" t="s">
        <v>221</v>
      </c>
      <c r="B11" s="1"/>
      <c r="C11" s="1"/>
      <c r="D11" s="70"/>
      <c r="E11" s="70"/>
      <c r="F11" s="70"/>
      <c r="G11" s="70"/>
    </row>
    <row r="12" spans="1:10">
      <c r="A12" s="1" t="s">
        <v>222</v>
      </c>
      <c r="B12" s="1"/>
      <c r="C12" s="1"/>
      <c r="D12" s="70"/>
      <c r="E12" s="70"/>
      <c r="F12" s="70"/>
      <c r="G12" s="70"/>
    </row>
    <row r="13" spans="1:10">
      <c r="A13" s="1" t="s">
        <v>223</v>
      </c>
      <c r="B13" s="1"/>
      <c r="C13" s="1"/>
      <c r="D13" s="70"/>
      <c r="E13" s="70"/>
      <c r="F13" s="70"/>
      <c r="G13" s="70"/>
    </row>
    <row r="14" spans="1:10">
      <c r="A14" s="1" t="s">
        <v>224</v>
      </c>
      <c r="B14" s="1"/>
      <c r="C14" s="1"/>
      <c r="D14" s="70"/>
      <c r="E14" s="70"/>
      <c r="F14" s="70"/>
      <c r="G14" s="70"/>
    </row>
    <row r="15" spans="1:10">
      <c r="A15" s="1"/>
      <c r="B15" s="1"/>
      <c r="C15" s="1"/>
      <c r="D15" s="70"/>
      <c r="E15" s="70"/>
      <c r="F15" s="70"/>
      <c r="G15" s="70"/>
    </row>
    <row r="16" spans="1:10">
      <c r="A16" s="1" t="s">
        <v>225</v>
      </c>
      <c r="B16" s="1"/>
      <c r="C16" s="1"/>
      <c r="D16" s="70"/>
      <c r="E16" s="70"/>
      <c r="F16" s="70"/>
      <c r="G16" s="70"/>
    </row>
    <row r="17" spans="1:10">
      <c r="A17" s="72"/>
      <c r="B17" s="70"/>
      <c r="C17" s="70"/>
      <c r="D17" s="70"/>
      <c r="E17" s="70"/>
      <c r="F17" s="70"/>
      <c r="G17" s="70" t="s">
        <v>226</v>
      </c>
    </row>
    <row r="18" spans="1:10">
      <c r="A18" s="70"/>
      <c r="B18" s="70"/>
      <c r="C18" s="70"/>
      <c r="D18" s="70"/>
      <c r="E18" s="70"/>
      <c r="F18" s="70"/>
      <c r="G18" s="70"/>
    </row>
    <row r="19" spans="1:10">
      <c r="A19" s="73"/>
      <c r="B19" s="70"/>
      <c r="C19" s="70"/>
      <c r="D19" s="70"/>
      <c r="E19" s="70"/>
      <c r="F19" s="70"/>
      <c r="G19" s="70"/>
    </row>
    <row r="20" spans="1:10">
      <c r="A20" s="72"/>
      <c r="B20" s="70"/>
      <c r="C20" s="70"/>
      <c r="D20" s="70"/>
      <c r="E20" s="70"/>
      <c r="F20" s="70"/>
      <c r="G20" s="70"/>
    </row>
    <row r="21" spans="1:10">
      <c r="A21" s="72"/>
      <c r="B21" s="70"/>
      <c r="C21" s="70"/>
      <c r="D21" s="70"/>
      <c r="E21" s="70"/>
      <c r="F21" s="70"/>
      <c r="G21" s="70"/>
    </row>
    <row r="22" spans="1:10">
      <c r="A22" s="72"/>
      <c r="B22" s="70"/>
      <c r="C22" s="70"/>
      <c r="D22" s="70"/>
      <c r="E22" s="70"/>
      <c r="F22" s="70"/>
      <c r="G22" s="70"/>
    </row>
    <row r="23" spans="1:10">
      <c r="A23" s="72"/>
      <c r="B23" s="70"/>
      <c r="C23" s="70"/>
      <c r="D23" s="70"/>
      <c r="E23" s="70"/>
      <c r="F23" s="70"/>
      <c r="H23" s="74"/>
    </row>
    <row r="24" spans="1:10">
      <c r="A24" s="72"/>
      <c r="B24" s="70"/>
      <c r="C24" s="70"/>
      <c r="D24" s="70"/>
      <c r="E24" s="70"/>
      <c r="F24" s="70"/>
      <c r="H24" s="74"/>
    </row>
    <row r="25" spans="1:10">
      <c r="A25" s="72"/>
      <c r="B25" s="70"/>
      <c r="C25" s="70"/>
      <c r="D25" s="70"/>
      <c r="E25" s="70"/>
      <c r="F25" s="70"/>
      <c r="G25" s="70"/>
    </row>
    <row r="26" spans="1:10">
      <c r="A26" s="72"/>
      <c r="B26" s="70"/>
      <c r="C26" s="70"/>
      <c r="D26" s="70"/>
      <c r="E26" s="70"/>
      <c r="F26" s="70"/>
      <c r="G26" s="70"/>
    </row>
    <row r="27" spans="1:10">
      <c r="A27" s="73"/>
      <c r="B27" s="70"/>
      <c r="C27" s="70"/>
      <c r="D27" s="70"/>
      <c r="E27" s="70"/>
      <c r="F27" s="70"/>
      <c r="G27" s="70"/>
    </row>
    <row r="28" spans="1:10">
      <c r="A28" s="72"/>
      <c r="B28" s="70"/>
      <c r="C28" s="70"/>
      <c r="D28" s="70"/>
      <c r="E28" s="70"/>
      <c r="F28" s="70"/>
      <c r="G28" s="36" t="s">
        <v>227</v>
      </c>
    </row>
    <row r="29" spans="1:10">
      <c r="A29" s="72"/>
      <c r="B29" s="70"/>
      <c r="C29" s="70"/>
      <c r="D29" s="70"/>
      <c r="E29" s="70"/>
      <c r="F29" s="70"/>
      <c r="G29" s="36" t="s">
        <v>228</v>
      </c>
      <c r="J29" s="75"/>
    </row>
    <row r="30" spans="1:10">
      <c r="A30" s="72"/>
      <c r="B30" s="70"/>
      <c r="C30" s="70"/>
      <c r="D30" s="70"/>
      <c r="E30" s="70"/>
      <c r="F30" s="70"/>
      <c r="G30" s="70"/>
      <c r="J30" s="13"/>
    </row>
    <row r="31" spans="1:10">
      <c r="A31" s="73"/>
      <c r="B31" s="70"/>
      <c r="C31" s="70"/>
      <c r="D31" s="70"/>
      <c r="E31" s="70"/>
      <c r="F31" s="70"/>
      <c r="G31" s="70"/>
    </row>
    <row r="32" spans="1:10">
      <c r="A32" s="72"/>
      <c r="B32" s="70"/>
      <c r="C32" s="70"/>
      <c r="D32" s="70"/>
      <c r="E32" s="70"/>
      <c r="F32" s="70"/>
      <c r="G32" s="70"/>
    </row>
    <row r="33" spans="1:10">
      <c r="A33" s="72"/>
      <c r="B33" s="70"/>
      <c r="C33" s="70"/>
      <c r="D33" s="70"/>
      <c r="E33" s="70"/>
      <c r="F33" s="70"/>
      <c r="G33" s="70"/>
      <c r="J33" s="75"/>
    </row>
    <row r="34" spans="1:10">
      <c r="B34" s="70"/>
      <c r="C34" s="70"/>
      <c r="D34" s="70"/>
      <c r="E34" s="70"/>
      <c r="F34" s="70"/>
      <c r="G34" s="70"/>
    </row>
    <row r="35" spans="1:10">
      <c r="A35" s="72"/>
      <c r="B35" s="70"/>
      <c r="C35" s="70"/>
      <c r="D35" s="70"/>
      <c r="E35" s="70"/>
      <c r="F35" s="70"/>
    </row>
    <row r="36" spans="1:10">
      <c r="A36" s="72"/>
      <c r="B36" s="70"/>
      <c r="C36" s="70"/>
      <c r="D36" s="70"/>
      <c r="E36" s="70"/>
      <c r="F36" s="70"/>
      <c r="J36" s="13"/>
    </row>
    <row r="37" spans="1:10">
      <c r="A37" s="73"/>
      <c r="B37" s="70"/>
      <c r="C37" s="70"/>
      <c r="D37" s="70"/>
      <c r="E37" s="70"/>
      <c r="F37" s="70"/>
      <c r="G37" s="70"/>
      <c r="J37" s="68"/>
    </row>
    <row r="38" spans="1:10">
      <c r="A38" s="72"/>
      <c r="B38" s="70"/>
      <c r="C38" s="70"/>
      <c r="D38" s="70"/>
      <c r="E38" s="70"/>
      <c r="F38" s="70"/>
      <c r="G38" s="70"/>
    </row>
    <row r="39" spans="1:10">
      <c r="B39" s="70"/>
      <c r="C39" s="70"/>
      <c r="D39" s="70"/>
      <c r="E39" s="70"/>
      <c r="F39" s="70"/>
      <c r="G39" s="70"/>
    </row>
  </sheetData>
  <mergeCells count="1">
    <mergeCell ref="A1:G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2BD88-FFE9-45D5-9E09-CC6313277638}">
  <dimension ref="A1:G25"/>
  <sheetViews>
    <sheetView topLeftCell="A10" workbookViewId="0">
      <selection sqref="A1:F23"/>
    </sheetView>
  </sheetViews>
  <sheetFormatPr defaultRowHeight="14.5"/>
  <cols>
    <col min="1" max="1" width="29" customWidth="1"/>
    <col min="2" max="2" width="27.7265625" bestFit="1" customWidth="1"/>
    <col min="3" max="3" width="16.453125" customWidth="1"/>
    <col min="4" max="4" width="12" customWidth="1"/>
    <col min="5" max="5" width="13.54296875" bestFit="1" customWidth="1"/>
    <col min="6" max="6" width="9.453125" bestFit="1" customWidth="1"/>
  </cols>
  <sheetData>
    <row r="1" spans="1:7" s="2" customFormat="1" ht="15.5">
      <c r="A1" s="1"/>
      <c r="B1" s="1"/>
      <c r="C1" s="1"/>
      <c r="D1" s="1"/>
      <c r="E1" s="1" t="s">
        <v>0</v>
      </c>
      <c r="G1" s="1"/>
    </row>
    <row r="2" spans="1:7" s="2" customFormat="1" ht="15.5">
      <c r="A2" s="1" t="s">
        <v>1</v>
      </c>
      <c r="B2" s="1"/>
      <c r="C2" s="1"/>
      <c r="D2" s="1"/>
      <c r="E2" s="1"/>
      <c r="F2" s="1"/>
      <c r="G2" s="1"/>
    </row>
    <row r="3" spans="1:7" s="2" customFormat="1" ht="15.5">
      <c r="A3" s="1" t="s">
        <v>2</v>
      </c>
      <c r="B3" s="1"/>
      <c r="C3" s="1"/>
      <c r="D3" s="1"/>
      <c r="E3" s="1"/>
      <c r="F3" s="1"/>
      <c r="G3" s="1"/>
    </row>
    <row r="4" spans="1:7" s="2" customFormat="1" ht="16" thickBot="1">
      <c r="A4" s="1"/>
      <c r="B4" s="1"/>
      <c r="C4" s="1"/>
      <c r="D4" s="1"/>
      <c r="E4" s="1"/>
      <c r="F4" s="1"/>
      <c r="G4" s="1"/>
    </row>
    <row r="5" spans="1:7" s="2" customFormat="1" ht="16" thickBot="1">
      <c r="A5" s="1"/>
      <c r="B5" s="3" t="s">
        <v>3</v>
      </c>
      <c r="C5" s="4">
        <v>200000000</v>
      </c>
      <c r="D5" s="1"/>
      <c r="E5" s="1"/>
      <c r="F5" s="1"/>
      <c r="G5" s="1"/>
    </row>
    <row r="6" spans="1:7" s="2" customFormat="1" ht="16" thickBot="1">
      <c r="A6" s="1"/>
      <c r="B6" s="5" t="s">
        <v>4</v>
      </c>
      <c r="C6" s="6" t="s">
        <v>5</v>
      </c>
      <c r="D6" s="1"/>
      <c r="E6" s="1"/>
      <c r="F6" s="1"/>
      <c r="G6" s="1"/>
    </row>
    <row r="7" spans="1:7" s="2" customFormat="1" ht="16" thickBot="1">
      <c r="A7" s="1"/>
      <c r="B7" s="5" t="s">
        <v>6</v>
      </c>
      <c r="C7" s="7">
        <v>48</v>
      </c>
      <c r="D7" s="1"/>
      <c r="E7" s="1"/>
      <c r="F7" s="1"/>
      <c r="G7" s="1"/>
    </row>
    <row r="8" spans="1:7" s="2" customFormat="1" ht="16" thickBot="1">
      <c r="A8" s="1"/>
      <c r="B8" s="5" t="s">
        <v>7</v>
      </c>
      <c r="C8" s="7" t="s">
        <v>8</v>
      </c>
      <c r="D8" s="1"/>
      <c r="E8" s="1"/>
      <c r="F8" s="1"/>
      <c r="G8" s="1"/>
    </row>
    <row r="9" spans="1:7" s="2" customFormat="1" ht="15.5">
      <c r="A9" s="1"/>
      <c r="B9" s="1"/>
      <c r="C9" s="1"/>
      <c r="D9" s="1"/>
      <c r="E9" s="1"/>
      <c r="F9" s="1"/>
      <c r="G9" s="1"/>
    </row>
    <row r="10" spans="1:7" s="2" customFormat="1" ht="15.5">
      <c r="A10" s="8" t="s">
        <v>9</v>
      </c>
      <c r="B10" s="1"/>
      <c r="C10" s="1"/>
      <c r="D10" s="1"/>
      <c r="E10" s="1"/>
      <c r="F10" s="1"/>
      <c r="G10" s="1"/>
    </row>
    <row r="11" spans="1:7" s="2" customFormat="1" ht="15.5">
      <c r="A11" s="1" t="s">
        <v>10</v>
      </c>
      <c r="B11" s="1"/>
      <c r="C11" s="1"/>
      <c r="D11" s="1"/>
      <c r="E11" s="1" t="s">
        <v>0</v>
      </c>
      <c r="F11" s="1"/>
      <c r="G11" s="1"/>
    </row>
    <row r="12" spans="1:7" s="2" customFormat="1" ht="15.5">
      <c r="A12" s="8"/>
      <c r="B12" s="1"/>
      <c r="C12" s="1"/>
      <c r="D12" s="1"/>
      <c r="E12" s="1"/>
      <c r="F12" s="1"/>
      <c r="G12" s="1"/>
    </row>
    <row r="13" spans="1:7" s="2" customFormat="1" ht="15.5">
      <c r="A13" s="1" t="s">
        <v>11</v>
      </c>
      <c r="B13" s="1"/>
      <c r="C13" s="1"/>
      <c r="D13" s="1"/>
      <c r="E13" s="1" t="s">
        <v>12</v>
      </c>
      <c r="F13" s="1"/>
      <c r="G13" s="1"/>
    </row>
    <row r="14" spans="1:7" s="2" customFormat="1" ht="15.5">
      <c r="A14" s="8"/>
      <c r="B14" s="1"/>
      <c r="C14" s="1"/>
      <c r="D14" s="1"/>
      <c r="F14" s="1"/>
      <c r="G14" s="1"/>
    </row>
    <row r="15" spans="1:7" s="2" customFormat="1" ht="15.5">
      <c r="A15" s="1" t="s">
        <v>13</v>
      </c>
      <c r="B15" s="1"/>
      <c r="C15" s="1"/>
      <c r="D15" s="1"/>
      <c r="E15" s="1"/>
      <c r="F15" s="1"/>
      <c r="G15" s="1"/>
    </row>
    <row r="16" spans="1:7" s="2" customFormat="1" ht="16" thickBot="1">
      <c r="A16" s="8"/>
      <c r="B16" s="1"/>
      <c r="C16" s="1"/>
      <c r="D16" s="1"/>
      <c r="E16" s="1"/>
      <c r="F16" s="1"/>
      <c r="G16" s="1"/>
    </row>
    <row r="17" spans="1:7" s="2" customFormat="1" ht="50.15" customHeight="1" thickBot="1">
      <c r="A17" s="8"/>
      <c r="B17" s="9" t="s">
        <v>14</v>
      </c>
      <c r="C17" s="10" t="s">
        <v>15</v>
      </c>
      <c r="D17" s="10" t="s">
        <v>16</v>
      </c>
      <c r="E17" s="1"/>
      <c r="F17" s="1"/>
      <c r="G17" s="1"/>
    </row>
    <row r="18" spans="1:7" s="2" customFormat="1" ht="16" thickBot="1">
      <c r="A18" s="8"/>
      <c r="B18" s="11" t="s">
        <v>17</v>
      </c>
      <c r="C18" s="12">
        <v>15</v>
      </c>
      <c r="D18" s="12" t="s">
        <v>18</v>
      </c>
      <c r="E18" s="1"/>
      <c r="F18" s="1"/>
      <c r="G18" s="1"/>
    </row>
    <row r="19" spans="1:7" s="2" customFormat="1" ht="16" thickBot="1">
      <c r="A19" s="8"/>
      <c r="B19" s="11" t="s">
        <v>19</v>
      </c>
      <c r="C19" s="12">
        <v>18</v>
      </c>
      <c r="D19" s="12" t="s">
        <v>20</v>
      </c>
      <c r="E19" s="1"/>
      <c r="F19" s="1"/>
      <c r="G19" s="1"/>
    </row>
    <row r="20" spans="1:7" s="2" customFormat="1" ht="16" thickBot="1">
      <c r="A20" s="8"/>
      <c r="B20" s="11" t="s">
        <v>21</v>
      </c>
      <c r="C20" s="12">
        <v>13</v>
      </c>
      <c r="D20" s="12" t="s">
        <v>22</v>
      </c>
      <c r="E20" s="1"/>
      <c r="F20" s="1"/>
      <c r="G20" s="1"/>
    </row>
    <row r="21" spans="1:7" s="2" customFormat="1" ht="15.5">
      <c r="A21" s="8"/>
      <c r="B21" s="1"/>
      <c r="C21" s="1"/>
      <c r="D21" s="1"/>
      <c r="E21" s="1"/>
      <c r="F21" s="1"/>
      <c r="G21" s="1"/>
    </row>
    <row r="22" spans="1:7" s="2" customFormat="1" ht="15.5">
      <c r="A22" s="8" t="s">
        <v>23</v>
      </c>
      <c r="B22" s="1"/>
      <c r="C22" s="1"/>
      <c r="D22" s="1"/>
      <c r="E22" s="1"/>
      <c r="F22" s="1"/>
      <c r="G22" s="1"/>
    </row>
    <row r="23" spans="1:7" s="2" customFormat="1" ht="15.5">
      <c r="A23" s="1" t="s">
        <v>24</v>
      </c>
      <c r="B23" s="1"/>
      <c r="C23" s="1"/>
      <c r="D23" s="1"/>
      <c r="F23" s="1"/>
      <c r="G23" s="1"/>
    </row>
    <row r="24" spans="1:7" s="2" customFormat="1" ht="15.5">
      <c r="A24" s="1" t="s">
        <v>25</v>
      </c>
      <c r="B24" s="1"/>
      <c r="C24" s="1"/>
      <c r="D24" s="1"/>
      <c r="F24" s="1"/>
      <c r="G24" s="1"/>
    </row>
    <row r="25" spans="1:7" s="2" customFormat="1" ht="15.5">
      <c r="A25" s="8"/>
      <c r="B25" s="1"/>
      <c r="C25" s="1"/>
      <c r="D25" s="1"/>
      <c r="F25" s="13" t="s">
        <v>26</v>
      </c>
      <c r="G25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10</vt:i4>
      </vt:variant>
    </vt:vector>
  </HeadingPairs>
  <TitlesOfParts>
    <vt:vector size="28" baseType="lpstr">
      <vt:lpstr>Scenario Summary</vt:lpstr>
      <vt:lpstr>BDA PILOT DEC 2022 Q23</vt:lpstr>
      <vt:lpstr>BDA DECMBER 2022 Q22</vt:lpstr>
      <vt:lpstr>BDA DECMBER 2022 Q23</vt:lpstr>
      <vt:lpstr>BDA APRIL 2023 Q21</vt:lpstr>
      <vt:lpstr>Scenario Summary 2</vt:lpstr>
      <vt:lpstr>BDA AUGUST 2023 Q22</vt:lpstr>
      <vt:lpstr>BDA DECEMBER 2023 Q22</vt:lpstr>
      <vt:lpstr>LOAN SCHEDULE &amp; DATA TABLE Q1</vt:lpstr>
      <vt:lpstr>BDA AUGUST 2024 Q22 LOAN S</vt:lpstr>
      <vt:lpstr>FMDA APRIL 2024 Q24 CB</vt:lpstr>
      <vt:lpstr>FMDA APRIL 2024 Q22 CB</vt:lpstr>
      <vt:lpstr>JAWABU LIMITED</vt:lpstr>
      <vt:lpstr>BDA DECEMBER 2024 Q22</vt:lpstr>
      <vt:lpstr>BDA APRIL 2025 Q22</vt:lpstr>
      <vt:lpstr>FMDA APRIL 2025 Q21</vt:lpstr>
      <vt:lpstr>BDA AUGUST 2025 Q22</vt:lpstr>
      <vt:lpstr>Sheet2</vt:lpstr>
      <vt:lpstr>Annual_number_of_units_sold</vt:lpstr>
      <vt:lpstr>Fixed_costs_per_year</vt:lpstr>
      <vt:lpstr>Initial_capital_cost</vt:lpstr>
      <vt:lpstr>NPV</vt:lpstr>
      <vt:lpstr>PV_of_the_Irregular_cashflows_NPV</vt:lpstr>
      <vt:lpstr>PV_of_the_regular_cashflows__PV</vt:lpstr>
      <vt:lpstr>Residual_value</vt:lpstr>
      <vt:lpstr>Selling_price_per_unit</vt:lpstr>
      <vt:lpstr>Total_PV_of_the_cashflows</vt:lpstr>
      <vt:lpstr>Variable_cost_per_unit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OMONDI OTIENO</dc:creator>
  <cp:lastModifiedBy>OMONDI OTIENO</cp:lastModifiedBy>
  <dcterms:created xsi:type="dcterms:W3CDTF">2024-10-28T14:31:19Z</dcterms:created>
  <dcterms:modified xsi:type="dcterms:W3CDTF">2025-11-04T20:55:52Z</dcterms:modified>
</cp:coreProperties>
</file>