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LINTON 2025\BACKED DATA\CPA ITEMS\BDA\BDA SEPTEMBER-DECEMBER 2025\"/>
    </mc:Choice>
  </mc:AlternateContent>
  <xr:revisionPtr revIDLastSave="0" documentId="13_ncr:1_{204C9B3C-6A8E-4FC5-B193-BDCF5D2AB2EA}" xr6:coauthVersionLast="47" xr6:coauthVersionMax="47" xr10:uidLastSave="{00000000-0000-0000-0000-000000000000}"/>
  <bookViews>
    <workbookView xWindow="-110" yWindow="-110" windowWidth="19420" windowHeight="10300" firstSheet="9" activeTab="10" xr2:uid="{D7879FA6-FAB6-4725-A3A1-34374763BEA6}"/>
  </bookViews>
  <sheets>
    <sheet name="INCOMPLETE RECORDS-ANGELA" sheetId="3" r:id="rId1"/>
    <sheet name="RHINO LIMITED" sheetId="15" r:id="rId2"/>
    <sheet name="BELLA OMARI" sheetId="12" r:id="rId3"/>
    <sheet name="PUBLISHED ACCOUNTS FARMLAND LTD" sheetId="13" r:id="rId4"/>
    <sheet name="PUBLISHED ACCOUNTS-LAKERS LTD" sheetId="1" r:id="rId5"/>
    <sheet name="INCOME STATEMENTS-HIBISCUS LTD" sheetId="2" r:id="rId6"/>
    <sheet name="PUBLISHED FS-SALAMA LTD" sheetId="8" r:id="rId7"/>
    <sheet name="GALA LIMITED-FS" sheetId="5" r:id="rId8"/>
    <sheet name="BDA DECEMBER 2023 Q21 " sheetId="4" r:id="rId9"/>
    <sheet name="BDA APRIL 2024 Q24-INCOMPLETE" sheetId="9" r:id="rId10"/>
    <sheet name="BDA AUGUST 2025 Q21" sheetId="16" r:id="rId11"/>
    <sheet name="FLEX LIMITED PUBLISHED ACCOUNTS" sheetId="1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67" i="16" l="1"/>
  <c r="AD68" i="16" s="1"/>
  <c r="AD62" i="16"/>
  <c r="AD49" i="16"/>
  <c r="AD48" i="16"/>
  <c r="AC39" i="16"/>
  <c r="AC24" i="16"/>
  <c r="AC3" i="16"/>
  <c r="AC2" i="16"/>
  <c r="AD43" i="16"/>
  <c r="AD20" i="16"/>
  <c r="AF6" i="16"/>
  <c r="S35" i="16"/>
  <c r="S34" i="16"/>
  <c r="T33" i="16"/>
  <c r="W32" i="16"/>
  <c r="W31" i="16"/>
  <c r="S29" i="16"/>
  <c r="S30" i="16"/>
  <c r="S28" i="16"/>
  <c r="W26" i="16"/>
  <c r="W25" i="16"/>
  <c r="W24" i="16"/>
  <c r="S23" i="16"/>
  <c r="W20" i="16"/>
  <c r="W21" i="16"/>
  <c r="W22" i="16"/>
  <c r="W19" i="16"/>
  <c r="V18" i="16"/>
  <c r="W17" i="16"/>
  <c r="W44" i="16" s="1"/>
  <c r="V15" i="16"/>
  <c r="V16" i="16"/>
  <c r="V14" i="16"/>
  <c r="W13" i="16"/>
  <c r="W12" i="16"/>
  <c r="V11" i="16"/>
  <c r="V10" i="16"/>
  <c r="S9" i="16"/>
  <c r="T8" i="16"/>
  <c r="S6" i="16"/>
  <c r="S7" i="16"/>
  <c r="S5" i="16"/>
  <c r="T4" i="16"/>
  <c r="AD66" i="16"/>
  <c r="AD65" i="16"/>
  <c r="AD64" i="16"/>
  <c r="AD61" i="16"/>
  <c r="AD60" i="16"/>
  <c r="AD47" i="16"/>
  <c r="AD46" i="16"/>
  <c r="AD45" i="16"/>
  <c r="AD42" i="16"/>
  <c r="AD41" i="16"/>
  <c r="AD28" i="16"/>
  <c r="AF27" i="16"/>
  <c r="AG26" i="16"/>
  <c r="AF26" i="16"/>
  <c r="AE26" i="16"/>
  <c r="AD26" i="16"/>
  <c r="AD16" i="16"/>
  <c r="AD15" i="16"/>
  <c r="AD14" i="16"/>
  <c r="AD13" i="16"/>
  <c r="AD12" i="16"/>
  <c r="AD11" i="16"/>
  <c r="AD9" i="16"/>
  <c r="AD8" i="16"/>
  <c r="AD7" i="16"/>
  <c r="AD6" i="16"/>
  <c r="AD5" i="16"/>
  <c r="T44" i="16"/>
  <c r="O5" i="16"/>
  <c r="O6" i="16"/>
  <c r="O7" i="16"/>
  <c r="P8" i="16"/>
  <c r="O9" i="16"/>
  <c r="O10" i="16"/>
  <c r="O11" i="16"/>
  <c r="P12" i="16"/>
  <c r="P13" i="16"/>
  <c r="O14" i="16"/>
  <c r="O15" i="16"/>
  <c r="O16" i="16"/>
  <c r="P17" i="16"/>
  <c r="O18" i="16"/>
  <c r="P19" i="16"/>
  <c r="P20" i="16"/>
  <c r="P22" i="16"/>
  <c r="O23" i="16"/>
  <c r="P24" i="16"/>
  <c r="P26" i="16"/>
  <c r="O28" i="16"/>
  <c r="O29" i="16"/>
  <c r="P31" i="16"/>
  <c r="P32" i="16"/>
  <c r="P33" i="16"/>
  <c r="O34" i="16"/>
  <c r="O35" i="16"/>
  <c r="O36" i="16"/>
  <c r="P36" i="16"/>
  <c r="O37" i="16"/>
  <c r="P37" i="16"/>
  <c r="O38" i="16"/>
  <c r="P38" i="16"/>
  <c r="O39" i="16"/>
  <c r="P39" i="16"/>
  <c r="O40" i="16"/>
  <c r="P40" i="16"/>
  <c r="O41" i="16"/>
  <c r="P41" i="16"/>
  <c r="O42" i="16"/>
  <c r="P42" i="16"/>
  <c r="O43" i="16"/>
  <c r="P43" i="16"/>
  <c r="P4" i="16"/>
  <c r="D54" i="16"/>
  <c r="D53" i="16"/>
  <c r="D52" i="16"/>
  <c r="AR8" i="16"/>
  <c r="AU23" i="16"/>
  <c r="AS23" i="16"/>
  <c r="AR16" i="16"/>
  <c r="AT14" i="16"/>
  <c r="AT16" i="16" s="1"/>
  <c r="AT6" i="16"/>
  <c r="AT8" i="16" s="1"/>
  <c r="L27" i="16"/>
  <c r="P27" i="16" s="1"/>
  <c r="E36" i="16"/>
  <c r="E35" i="16"/>
  <c r="E37" i="16" s="1"/>
  <c r="M86" i="4"/>
  <c r="E11" i="4"/>
  <c r="M25" i="16"/>
  <c r="M44" i="16" s="1"/>
  <c r="L30" i="16"/>
  <c r="O30" i="16" s="1"/>
  <c r="L21" i="16"/>
  <c r="P21" i="16" s="1"/>
  <c r="I44" i="16"/>
  <c r="V44" i="16"/>
  <c r="B54" i="16"/>
  <c r="C34" i="16"/>
  <c r="D28" i="16"/>
  <c r="D34" i="16" s="1"/>
  <c r="M91" i="4"/>
  <c r="M89" i="4"/>
  <c r="M88" i="4"/>
  <c r="M83" i="4"/>
  <c r="M82" i="4"/>
  <c r="M78" i="4"/>
  <c r="M76" i="4"/>
  <c r="M75" i="4"/>
  <c r="M72" i="4"/>
  <c r="M68" i="4"/>
  <c r="M65" i="4"/>
  <c r="M64" i="4"/>
  <c r="M63" i="4"/>
  <c r="M59" i="4"/>
  <c r="H19" i="4"/>
  <c r="I19" i="4"/>
  <c r="J19" i="4"/>
  <c r="K19" i="4"/>
  <c r="L19" i="4"/>
  <c r="M19" i="4"/>
  <c r="K36" i="4" s="1"/>
  <c r="L52" i="4"/>
  <c r="N52" i="4"/>
  <c r="M77" i="4" s="1"/>
  <c r="M79" i="4" s="1"/>
  <c r="M92" i="4" s="1"/>
  <c r="M94" i="4" s="1"/>
  <c r="O52" i="4"/>
  <c r="K52" i="4"/>
  <c r="P45" i="4"/>
  <c r="P46" i="4"/>
  <c r="P47" i="4"/>
  <c r="P48" i="4"/>
  <c r="P49" i="4"/>
  <c r="P50" i="4"/>
  <c r="P51" i="4"/>
  <c r="P43" i="4"/>
  <c r="N43" i="4"/>
  <c r="O43" i="4"/>
  <c r="M43" i="4"/>
  <c r="L43" i="4"/>
  <c r="K43" i="4"/>
  <c r="K34" i="4"/>
  <c r="K24" i="4"/>
  <c r="K9" i="4"/>
  <c r="K32" i="4" s="1"/>
  <c r="C66" i="4"/>
  <c r="I59" i="4"/>
  <c r="J59" i="4" s="1"/>
  <c r="H53" i="4"/>
  <c r="H54" i="4" s="1"/>
  <c r="H34" i="4"/>
  <c r="H33" i="4"/>
  <c r="H35" i="4" s="1"/>
  <c r="H26" i="4"/>
  <c r="H29" i="4" s="1"/>
  <c r="L10" i="4"/>
  <c r="K27" i="4" s="1"/>
  <c r="I7" i="4"/>
  <c r="K30" i="4" s="1"/>
  <c r="J7" i="4"/>
  <c r="K31" i="4" s="1"/>
  <c r="H6" i="4"/>
  <c r="H5" i="4"/>
  <c r="C29" i="4"/>
  <c r="B29" i="4"/>
  <c r="U75" i="9"/>
  <c r="U73" i="9"/>
  <c r="U70" i="9"/>
  <c r="U72" i="9" s="1"/>
  <c r="U69" i="9"/>
  <c r="U67" i="9"/>
  <c r="U64" i="9"/>
  <c r="U61" i="9"/>
  <c r="U58" i="9"/>
  <c r="U26" i="9"/>
  <c r="U54" i="9"/>
  <c r="U53" i="9"/>
  <c r="U49" i="9"/>
  <c r="U46" i="9"/>
  <c r="T18" i="9"/>
  <c r="U20" i="9" s="1"/>
  <c r="U45" i="9"/>
  <c r="U44" i="9"/>
  <c r="U43" i="9"/>
  <c r="U37" i="9"/>
  <c r="U14" i="9"/>
  <c r="U15" i="9" s="1"/>
  <c r="T20" i="9"/>
  <c r="T19" i="9"/>
  <c r="U11" i="9"/>
  <c r="U10" i="9"/>
  <c r="T10" i="9"/>
  <c r="T9" i="9"/>
  <c r="T7" i="9"/>
  <c r="U4" i="9"/>
  <c r="M23" i="9"/>
  <c r="N24" i="9"/>
  <c r="M25" i="9"/>
  <c r="M26" i="9"/>
  <c r="M27" i="9"/>
  <c r="M28" i="9"/>
  <c r="M29" i="9"/>
  <c r="M30" i="9"/>
  <c r="M31" i="9"/>
  <c r="N32" i="9"/>
  <c r="M33" i="9"/>
  <c r="M34" i="9"/>
  <c r="M35" i="9"/>
  <c r="N36" i="9"/>
  <c r="M37" i="9"/>
  <c r="M38" i="9"/>
  <c r="N39" i="9"/>
  <c r="N40" i="9"/>
  <c r="M41" i="9"/>
  <c r="M22" i="9"/>
  <c r="N4" i="9"/>
  <c r="N5" i="9"/>
  <c r="M6" i="9"/>
  <c r="M7" i="9"/>
  <c r="M8" i="9"/>
  <c r="N9" i="9"/>
  <c r="M10" i="9"/>
  <c r="M11" i="9"/>
  <c r="M12" i="9"/>
  <c r="M13" i="9"/>
  <c r="M14" i="9"/>
  <c r="M15" i="9"/>
  <c r="N16" i="9"/>
  <c r="N17" i="9"/>
  <c r="N18" i="9"/>
  <c r="M19" i="9"/>
  <c r="M20" i="9"/>
  <c r="M21" i="9"/>
  <c r="M3" i="9"/>
  <c r="G3" i="9"/>
  <c r="H3" i="9"/>
  <c r="G31" i="9"/>
  <c r="G33" i="9"/>
  <c r="H26" i="9"/>
  <c r="G21" i="9"/>
  <c r="G20" i="9"/>
  <c r="G19" i="9"/>
  <c r="J15" i="9"/>
  <c r="J14" i="9"/>
  <c r="J13" i="9"/>
  <c r="J8" i="9"/>
  <c r="G7" i="9"/>
  <c r="K58" i="9"/>
  <c r="X70" i="3"/>
  <c r="X71" i="3" s="1"/>
  <c r="X69" i="3"/>
  <c r="X68" i="3"/>
  <c r="X65" i="3"/>
  <c r="X62" i="3"/>
  <c r="X60" i="3"/>
  <c r="X57" i="3"/>
  <c r="X53" i="3"/>
  <c r="X51" i="3"/>
  <c r="X50" i="3"/>
  <c r="X49" i="3"/>
  <c r="X48" i="3"/>
  <c r="X44" i="3"/>
  <c r="X43" i="3"/>
  <c r="Y35" i="3"/>
  <c r="Y33" i="3"/>
  <c r="Y31" i="3"/>
  <c r="Y30" i="3"/>
  <c r="Y29" i="3"/>
  <c r="Y28" i="3"/>
  <c r="Y26" i="3"/>
  <c r="Y25" i="3"/>
  <c r="Y13" i="3"/>
  <c r="Y12" i="3"/>
  <c r="Y10" i="3"/>
  <c r="Y9" i="3"/>
  <c r="X9" i="3"/>
  <c r="X8" i="3"/>
  <c r="X7" i="3"/>
  <c r="Y4" i="3"/>
  <c r="X28" i="3"/>
  <c r="X27" i="3"/>
  <c r="X25" i="3"/>
  <c r="X21" i="3"/>
  <c r="X22" i="3"/>
  <c r="X23" i="3"/>
  <c r="X24" i="3"/>
  <c r="X20" i="3"/>
  <c r="X19" i="3"/>
  <c r="X18" i="3"/>
  <c r="X17" i="3"/>
  <c r="X16" i="3"/>
  <c r="Q15" i="3"/>
  <c r="P16" i="3"/>
  <c r="P17" i="3"/>
  <c r="P18" i="3"/>
  <c r="P19" i="3"/>
  <c r="Q20" i="3"/>
  <c r="P21" i="3"/>
  <c r="Q22" i="3"/>
  <c r="P23" i="3"/>
  <c r="P24" i="3"/>
  <c r="P25" i="3"/>
  <c r="P26" i="3"/>
  <c r="P27" i="3"/>
  <c r="P28" i="3"/>
  <c r="P29" i="3"/>
  <c r="P30" i="3"/>
  <c r="P31" i="3"/>
  <c r="P32" i="3"/>
  <c r="P33" i="3"/>
  <c r="Q34" i="3"/>
  <c r="Q35" i="3"/>
  <c r="P36" i="3"/>
  <c r="Q14" i="3"/>
  <c r="Q8" i="3"/>
  <c r="Q9" i="3"/>
  <c r="Q11" i="3"/>
  <c r="Q13" i="3"/>
  <c r="Q4" i="3"/>
  <c r="P5" i="3"/>
  <c r="P6" i="3"/>
  <c r="P7" i="3"/>
  <c r="P10" i="3"/>
  <c r="P12" i="3"/>
  <c r="P13" i="3"/>
  <c r="M31" i="3"/>
  <c r="M33" i="3"/>
  <c r="N5" i="3"/>
  <c r="M5" i="3"/>
  <c r="N16" i="3"/>
  <c r="M14" i="3"/>
  <c r="K15" i="3"/>
  <c r="K5" i="3"/>
  <c r="J12" i="3"/>
  <c r="M10" i="3"/>
  <c r="J5" i="3"/>
  <c r="M7" i="3"/>
  <c r="K4" i="3"/>
  <c r="B28" i="15"/>
  <c r="C28" i="15"/>
  <c r="P25" i="16" l="1"/>
  <c r="D55" i="16"/>
  <c r="D57" i="16" s="1"/>
  <c r="V46" i="16"/>
  <c r="O44" i="16"/>
  <c r="P44" i="16"/>
  <c r="S44" i="16"/>
  <c r="S46" i="16" s="1"/>
  <c r="L44" i="16"/>
  <c r="L46" i="16" s="1"/>
  <c r="J44" i="16"/>
  <c r="I46" i="16" s="1"/>
  <c r="H37" i="4"/>
  <c r="I61" i="4"/>
  <c r="J61" i="4" s="1"/>
  <c r="I58" i="4"/>
  <c r="I60" i="4" s="1"/>
  <c r="I62" i="4" s="1"/>
  <c r="I64" i="4" s="1"/>
  <c r="H55" i="4"/>
  <c r="H58" i="4" s="1"/>
  <c r="H39" i="4"/>
  <c r="H12" i="4" s="1"/>
  <c r="K25" i="4" s="1"/>
  <c r="K26" i="4" s="1"/>
  <c r="K28" i="4" s="1"/>
  <c r="K33" i="4" s="1"/>
  <c r="U21" i="9"/>
  <c r="U24" i="9" s="1"/>
  <c r="N58" i="9"/>
  <c r="M58" i="9"/>
  <c r="H58" i="9"/>
  <c r="G58" i="9"/>
  <c r="J58" i="9"/>
  <c r="J59" i="9" s="1"/>
  <c r="X72" i="3"/>
  <c r="X74" i="3" s="1"/>
  <c r="Q60" i="3"/>
  <c r="P60" i="3"/>
  <c r="M60" i="3"/>
  <c r="N60" i="3"/>
  <c r="K60" i="3"/>
  <c r="J60" i="3"/>
  <c r="O46" i="16" l="1"/>
  <c r="K35" i="4"/>
  <c r="H41" i="4"/>
  <c r="H60" i="4"/>
  <c r="J58" i="4"/>
  <c r="M59" i="9"/>
  <c r="G59" i="9"/>
  <c r="P61" i="3"/>
  <c r="M61" i="3"/>
  <c r="J61" i="3"/>
  <c r="C23" i="2"/>
  <c r="C17" i="2"/>
  <c r="C16" i="2"/>
  <c r="B22" i="2"/>
  <c r="B24" i="2"/>
  <c r="B29" i="1"/>
  <c r="B31" i="1"/>
  <c r="C26" i="1"/>
  <c r="B38" i="1"/>
  <c r="C25" i="1"/>
  <c r="B37" i="1"/>
  <c r="B36" i="1"/>
  <c r="C24" i="1"/>
  <c r="C23" i="1"/>
  <c r="B18" i="1"/>
  <c r="K37" i="4" l="1"/>
  <c r="M44" i="4"/>
  <c r="H62" i="4"/>
  <c r="J60" i="4"/>
  <c r="B29" i="2"/>
  <c r="C46" i="1"/>
  <c r="C29" i="2"/>
  <c r="P44" i="4" l="1"/>
  <c r="P52" i="4" s="1"/>
  <c r="M52" i="4"/>
  <c r="J62" i="4"/>
  <c r="H64" i="4"/>
  <c r="B30" i="2"/>
  <c r="C31" i="5"/>
  <c r="B31" i="5"/>
  <c r="B46" i="1"/>
  <c r="B47" i="1" s="1"/>
  <c r="AD69" i="16" l="1"/>
  <c r="AD76" i="16" s="1"/>
  <c r="AH29" i="16"/>
  <c r="AH27" i="16"/>
  <c r="AD55" i="16"/>
  <c r="AE32" i="16"/>
  <c r="AF32" i="16"/>
  <c r="AD56" i="16"/>
  <c r="AH28" i="16"/>
  <c r="AH26" i="16"/>
  <c r="AH32" i="16"/>
  <c r="AD57" i="16"/>
  <c r="AG32" i="16"/>
  <c r="AH31" i="16"/>
  <c r="AH30" i="16"/>
  <c r="AD53" i="16"/>
  <c r="AD32" i="16"/>
</calcChain>
</file>

<file path=xl/sharedStrings.xml><?xml version="1.0" encoding="utf-8"?>
<sst xmlns="http://schemas.openxmlformats.org/spreadsheetml/2006/main" count="949" uniqueCount="596">
  <si>
    <t xml:space="preserve"> </t>
  </si>
  <si>
    <t xml:space="preserve">Sh.“000” </t>
  </si>
  <si>
    <t>Revenue</t>
  </si>
  <si>
    <t>Cost of sales</t>
  </si>
  <si>
    <t>Distribution costs</t>
  </si>
  <si>
    <t>Administrative expenses</t>
  </si>
  <si>
    <t>Bank balance</t>
  </si>
  <si>
    <t>Ordinary share capital (Sh.10 par value)</t>
  </si>
  <si>
    <t>Share premium</t>
  </si>
  <si>
    <t>Retained earnings as at 1 July 2023</t>
  </si>
  <si>
    <t>Property at cost (Buildings: Sh.150 million)</t>
  </si>
  <si>
    <t>Plant and equipment at cost</t>
  </si>
  <si>
    <t>Motor vehicles at cost</t>
  </si>
  <si>
    <t>Furniture and fixtures at cost</t>
  </si>
  <si>
    <t>Accumulated depreciation as at 1 July 2023:</t>
  </si>
  <si>
    <t xml:space="preserve">  Deferred tax</t>
  </si>
  <si>
    <t xml:space="preserve">  Current tax</t>
  </si>
  <si>
    <t>Investment property at fair value</t>
  </si>
  <si>
    <t>12% bank loan</t>
  </si>
  <si>
    <t xml:space="preserve">Interim dividend paid                                                     </t>
  </si>
  <si>
    <t xml:space="preserve">Additional information: </t>
  </si>
  <si>
    <t xml:space="preserve">Assets </t>
  </si>
  <si>
    <t xml:space="preserve">Rate per annum </t>
  </si>
  <si>
    <t xml:space="preserve">Plant and equipment </t>
  </si>
  <si>
    <t xml:space="preserve">Motor vehicles </t>
  </si>
  <si>
    <t xml:space="preserve">Furniture and fixtures </t>
  </si>
  <si>
    <t>The corporation tax rate applicable to Lakers Limited is 30%.</t>
  </si>
  <si>
    <t xml:space="preserve">Required: </t>
  </si>
  <si>
    <t xml:space="preserve">(i)                  Statement of profit or loss and other comprehensive income for the year ended 30 June 2024. </t>
  </si>
  <si>
    <t xml:space="preserve">(ii)                Statement of changes in equity for the year ended 30 June 2024. </t>
  </si>
  <si>
    <t xml:space="preserve">(iii)              Statement of financial position as at 30 June 2024. </t>
  </si>
  <si>
    <t>The buildings were being depreciated on a straight line basis over their economic useful life, originally of 50 years and annual depreciation charged to administrative expenses.</t>
  </si>
  <si>
    <t xml:space="preserve"> However, the company does not intend to account for deferred tax on the revaluation surplus.</t>
  </si>
  <si>
    <t xml:space="preserve">The remaining useful life of buildings remained unchanged. </t>
  </si>
  <si>
    <t>Lakers Limited will make annual transfer to retained earnings in respect of excess depreciation upon revaluation of its assets.</t>
  </si>
  <si>
    <t xml:space="preserve">1.  On 1 July 2023, the property of Lakers Limited was revalued for the first time to a market value of Sh.190 million of which Sh.100 million related to the buildings. </t>
  </si>
  <si>
    <t>2. Depreciation on other non-current assets is to be provided and allocated as follows:</t>
  </si>
  <si>
    <t>3. The 12% bank loan was issued on 1 October 2023 with the same effective interest rate as the coupon rate. Interest is payable semi-annually on 31 March and 30 September.</t>
  </si>
  <si>
    <t>4.Investment property has been recorded at its fair value on 1 July 2023. The fair value gain on the investment property for the year ended 30 June 2024 amounted to Sh.1,100,000.</t>
  </si>
  <si>
    <t xml:space="preserve"> In addition, the carrying amounts of Lakers Limited’s net assets exceeded their tax bases by Sh.73 million at       30 June 2024.</t>
  </si>
  <si>
    <t xml:space="preserve">5.The balance on the current tax in the above trial balance represents the withholding tax paid on the company’s behalf. </t>
  </si>
  <si>
    <t>The current income tax for the year ended 30 June 2024 is estimated at Sh.69 million.</t>
  </si>
  <si>
    <t>The rights issue had already been posted in the financial records of Lakers Limited.</t>
  </si>
  <si>
    <t xml:space="preserve">6.  During the year ended 30 June 2024, the company made a rights issue of ordinary shares at a concessionary price of Sh.12 per share, </t>
  </si>
  <si>
    <t xml:space="preserve">on the basis of one new share for every five held. </t>
  </si>
  <si>
    <t>Sh.“000 "</t>
  </si>
  <si>
    <t xml:space="preserve">                                                                                         -Buildings</t>
  </si>
  <si>
    <t xml:space="preserve">                                                                                        -Plant and equipment</t>
  </si>
  <si>
    <t xml:space="preserve">                                                                                        -Motor vehicles</t>
  </si>
  <si>
    <t xml:space="preserve">                                                                                       - Furniture and fixtures</t>
  </si>
  <si>
    <t xml:space="preserve"> trade payables</t>
  </si>
  <si>
    <t>Trade receivables</t>
  </si>
  <si>
    <t>Ordinary share capital of Sh.100 each</t>
  </si>
  <si>
    <t xml:space="preserve">  12% preference share capital of Sh.100 each</t>
  </si>
  <si>
    <t xml:space="preserve">  Share premium</t>
  </si>
  <si>
    <t xml:space="preserve">  10% debentures</t>
  </si>
  <si>
    <t xml:space="preserve">  Accounts payable</t>
  </si>
  <si>
    <t xml:space="preserve">  Accounts receivable</t>
  </si>
  <si>
    <t xml:space="preserve">  Sales      </t>
  </si>
  <si>
    <t xml:space="preserve">  Purchases    </t>
  </si>
  <si>
    <t xml:space="preserve">  Discounts allowed</t>
  </si>
  <si>
    <t>Discounts received</t>
  </si>
  <si>
    <t>Sh.“000”</t>
  </si>
  <si>
    <t>Freehold buildings</t>
  </si>
  <si>
    <t>Furniture and fittings</t>
  </si>
  <si>
    <t xml:space="preserve">   </t>
  </si>
  <si>
    <t>Accumulated depreciation:</t>
  </si>
  <si>
    <t xml:space="preserve">  Freehold buildings</t>
  </si>
  <si>
    <t xml:space="preserve">  Furniture and fittings</t>
  </si>
  <si>
    <t>Inventory (1 July 2023)</t>
  </si>
  <si>
    <t>Returns outward</t>
  </si>
  <si>
    <t xml:space="preserve">Rent expenses </t>
  </si>
  <si>
    <t>Selling and distribution expenses</t>
  </si>
  <si>
    <t>Bad debts written off</t>
  </si>
  <si>
    <t>Allowance for doubtful debts</t>
  </si>
  <si>
    <t>Retained earnings (1 July 2023)</t>
  </si>
  <si>
    <t>Goodwill</t>
  </si>
  <si>
    <t xml:space="preserve">Bank overdraft </t>
  </si>
  <si>
    <t xml:space="preserve">(a)  The following trial balance was extracted from the books of Hibiscus Ltd. as at 30 June 2024: </t>
  </si>
  <si>
    <t>The following additional information is available:</t>
  </si>
  <si>
    <t xml:space="preserve">Asset </t>
  </si>
  <si>
    <t xml:space="preserve">Rate per annum (%) </t>
  </si>
  <si>
    <t xml:space="preserve">Freehold buildings </t>
  </si>
  <si>
    <t xml:space="preserve">Furniture and fittings </t>
  </si>
  <si>
    <t xml:space="preserve">  </t>
  </si>
  <si>
    <t>(10 marks)</t>
  </si>
  <si>
    <t>(6 marks)</t>
  </si>
  <si>
    <t>sh"000"</t>
  </si>
  <si>
    <t xml:space="preserve">(i) Statement of profit or loss for the year ended 30 June 2024.  </t>
  </si>
  <si>
    <t xml:space="preserve">9.  Corporation tax is charged at the rate of 30% of the net profit.  </t>
  </si>
  <si>
    <t>7.  As at 30 June 2024, inventory was valued at Sh.7,280,000.</t>
  </si>
  <si>
    <t>6 The company paid the interest on debentures for the year ended 30 June 2024 on 31 July 2024.</t>
  </si>
  <si>
    <t>5.  Administrative expenses accrued as at 30 June 2024 amounted to Sh.95,000.</t>
  </si>
  <si>
    <t>4.  Rent expenses prepaid as at 30 June 2024 amounted to Sh.52,000.</t>
  </si>
  <si>
    <t xml:space="preserve">3.  The allowance for doubtful debt as at 30 June 2024 is to be adjusted to 10% of accounts receivable.  </t>
  </si>
  <si>
    <t>1.   Depreciation on non-current assets is provided on a straight line basis at the following rates:</t>
  </si>
  <si>
    <t xml:space="preserve">QUESTION ONE </t>
  </si>
  <si>
    <t xml:space="preserve">4. Credit sales during the year amounted to Sh.125,000,000 while cash sales amounted to Sh.6,500,000. </t>
  </si>
  <si>
    <t xml:space="preserve">As at 30 June 2024, Sh.3,000,000 accounts payable to suppliers was still outstanding. </t>
  </si>
  <si>
    <t xml:space="preserve">7. As at 30 June 2024, inventory was valued at Sh.7,200,000. </t>
  </si>
  <si>
    <t xml:space="preserve">8. Credit suppliers and credit customers are paid and pay through the bank respectively. </t>
  </si>
  <si>
    <t>9. The following payments were made through the bank during the year:</t>
  </si>
  <si>
    <t xml:space="preserve">Expenses </t>
  </si>
  <si>
    <t>Rent expenses</t>
  </si>
  <si>
    <t>Purchase of furniture (1 July 2023)</t>
  </si>
  <si>
    <t>Salaries and wages</t>
  </si>
  <si>
    <t>Transport</t>
  </si>
  <si>
    <t>Insurance</t>
  </si>
  <si>
    <t>Advertisement</t>
  </si>
  <si>
    <t>Repair of motor vehicle (van)</t>
  </si>
  <si>
    <t>Electricity and internet</t>
  </si>
  <si>
    <t>Carriage inwards</t>
  </si>
  <si>
    <t xml:space="preserve">10. Furniture was to be depreciated at the rate of 15% per annum on a straight line basis. </t>
  </si>
  <si>
    <t>(a) Statement of profit or loss for the year ended 30 June 2024. (12 marks)</t>
  </si>
  <si>
    <t xml:space="preserve"> (b) Statement of financial position as at 30 June 2024. (8 marks)</t>
  </si>
  <si>
    <t>SECTION II (60 MARKS)</t>
  </si>
  <si>
    <t>Answer BOTH questions in this Section.</t>
  </si>
  <si>
    <t>QUESTION 21</t>
  </si>
  <si>
    <t>Fanisi Limited, a listed company, has provided the following trial balance as at 30 June 2023.</t>
  </si>
  <si>
    <t>DR</t>
  </si>
  <si>
    <t>CR</t>
  </si>
  <si>
    <t>Sh."000"</t>
  </si>
  <si>
    <t>Purchases</t>
  </si>
  <si>
    <t>Inventory as at 1 July 2022</t>
  </si>
  <si>
    <t>Distribution Costs</t>
  </si>
  <si>
    <t>Administration Expenses</t>
  </si>
  <si>
    <t>Interest on Loanstock paid</t>
  </si>
  <si>
    <t>Rent Income</t>
  </si>
  <si>
    <t>Land and Buildings</t>
  </si>
  <si>
    <t xml:space="preserve">        Accumulated depreciation as at 1 July 2022</t>
  </si>
  <si>
    <t>Plant and equipment</t>
  </si>
  <si>
    <t>Investment Property</t>
  </si>
  <si>
    <t>Trade Receivables</t>
  </si>
  <si>
    <t>Cash and Cash Equivalents</t>
  </si>
  <si>
    <t>Ordinary Share Capital</t>
  </si>
  <si>
    <t>Share Premium</t>
  </si>
  <si>
    <t>Retained Earnings as at 1 July 2022</t>
  </si>
  <si>
    <t>Dividends Paid</t>
  </si>
  <si>
    <t>General Reserve</t>
  </si>
  <si>
    <t>Equipment</t>
  </si>
  <si>
    <t>Bank</t>
  </si>
  <si>
    <t>8% Loan stock</t>
  </si>
  <si>
    <t>Trade Payables</t>
  </si>
  <si>
    <t>Proceeds on sale of equipment</t>
  </si>
  <si>
    <t>Further information to be taken into account:</t>
  </si>
  <si>
    <t xml:space="preserve">1.   Inventory is provided at Sh.97,000,000 at cost and Sh.95,250, 000 at net realisable value. </t>
  </si>
  <si>
    <t xml:space="preserve">2.   At the beginning of the year, Fanisi Limited disposed of some old equipment for Sh.1,750,000. The equipment had cost Sh.3,750, 000 and had </t>
  </si>
  <si>
    <t xml:space="preserve">      accumulated depreciation brought forward at 1 July 2022 of Sh.750,000.</t>
  </si>
  <si>
    <t xml:space="preserve">     There were no other additions or disposals to property, plant and equipment in the year.</t>
  </si>
  <si>
    <t xml:space="preserve">3.   The company classifies depreciation on plant and equipment as a cost of sale and on land and buildings as an administrative cost. </t>
  </si>
  <si>
    <t xml:space="preserve">      Depreciation rates are as follows:</t>
  </si>
  <si>
    <t xml:space="preserve">             Buildings                    -    Straight line over 50 years </t>
  </si>
  <si>
    <t xml:space="preserve">             Plant and equipment    -    20% reducing balance</t>
  </si>
  <si>
    <t xml:space="preserve">       Fanisi Limited's accounting policy is to charge a full year's depreciation in the year of an asset's purchase and none in the year of disposal. </t>
  </si>
  <si>
    <t xml:space="preserve">       Fanisi Limited's land and buildings were eight years old as at 1 July 2022.</t>
  </si>
  <si>
    <t xml:space="preserve">4.    On 30 June 2023, the company revalued its land and buildings to Sh.190,000,000 (including Sh.2,500,000 for the land). The company </t>
  </si>
  <si>
    <t xml:space="preserve">       follows the revaluation model of IAS 16 for its land and buildings, but no revaluations had been carried out. The company wishes to treat </t>
  </si>
  <si>
    <t xml:space="preserve">       the revaluation surplus as being realised on disposal of the assets.</t>
  </si>
  <si>
    <t>5.    Expected credit loss (an administration expense) is on average 10% of the trade receivables.</t>
  </si>
  <si>
    <t xml:space="preserve">6.    The income tax charge (current and deferred tax) for the year is estimated at Sh.11,250,000 (of which Sh.4,250,000 relates to future </t>
  </si>
  <si>
    <t xml:space="preserve">       payable tax on the revaluation of land and buildings to be charged to other comprehensive income (and the revaluation surplus).</t>
  </si>
  <si>
    <t>7.    On 1 January 2023, Fanisi Limited made a 1 for 4 bonus issue, capitalising its general reserve.</t>
  </si>
  <si>
    <t xml:space="preserve">       This transaction had not yet been accounted for. The fair value of the company's shares on the date of the bonus issue was Sh.37.50 per share.</t>
  </si>
  <si>
    <t xml:space="preserve">8.    Fanisi Limited uses the fair value model of IAS 40. The fair value of the investment property as at 30 June 2023 was Sh.147,000,000. </t>
  </si>
  <si>
    <t>As per IAS 1:</t>
  </si>
  <si>
    <t>(i)         Statement of Profit or Loss and other comprehensive incomes for year ended 30 June 2023.</t>
  </si>
  <si>
    <t>(ii)        Statement of changes in Equtity for the year ended 30 June 2023.</t>
  </si>
  <si>
    <t>(iii)       Statement of financial position as at 30 June 2023.</t>
  </si>
  <si>
    <t>The following trial balance was extracted from the books of Gala Ltd., a manufacturing company as at 31 October 2023:</t>
  </si>
  <si>
    <t>Ordinary share capital</t>
  </si>
  <si>
    <t>Revaluation reserve (1 November 2022)</t>
  </si>
  <si>
    <t>Retained earnings (1 November 2022)</t>
  </si>
  <si>
    <t>Production costs</t>
  </si>
  <si>
    <t>Distribution cost</t>
  </si>
  <si>
    <t>Interest on loan</t>
  </si>
  <si>
    <t>Research and development</t>
  </si>
  <si>
    <t>Land and building at valuation (1 November 2022)</t>
  </si>
  <si>
    <t>Equipment at cost</t>
  </si>
  <si>
    <t xml:space="preserve">Investment property at valuation (1 November 2022)
</t>
  </si>
  <si>
    <t>Accumulated depreciation (1 November 2022):</t>
  </si>
  <si>
    <t>Building</t>
  </si>
  <si>
    <t>Intangible assets at cost</t>
  </si>
  <si>
    <t>Accumulated amortisation (1 November 2022)</t>
  </si>
  <si>
    <t>Inventory (1 November 2022)</t>
  </si>
  <si>
    <t>trade payables</t>
  </si>
  <si>
    <t>10% bank loan long term</t>
  </si>
  <si>
    <t>Interim dividends paid</t>
  </si>
  <si>
    <t>Corporate tax payable</t>
  </si>
  <si>
    <t xml:space="preserve">1. Inventory as at 31 October 2023 was valued at Sh.130,000,000, but it was subsequently discovered that goods </t>
  </si>
  <si>
    <t xml:space="preserve">included in this value with a cost of Sh.14,000,000 were sold for Sh.4,000,000. </t>
  </si>
  <si>
    <t xml:space="preserve">2. Gala Ltd. took out the bank loan of Sh.2,000,000,000 on 1 November 2022 which is repayable in four equal </t>
  </si>
  <si>
    <t xml:space="preserve">annual installments. The interest rate on the loan is 10% per annum payable semi-annually. </t>
  </si>
  <si>
    <t xml:space="preserve">3. The corporation tax for the previous year was paid during the current year. The corporation tax for the year ended </t>
  </si>
  <si>
    <t xml:space="preserve">31 October 2023 was Sh.1,250,000,000. </t>
  </si>
  <si>
    <t xml:space="preserve">4. The directors have discovered that a customer who owed Sh.250,000,000 as at year end was declared bankrupt. </t>
  </si>
  <si>
    <t xml:space="preserve">5. Included in the revenue is a grant from the government of Sh.300,000,000 that Gala Ltd. received for accepting to </t>
  </si>
  <si>
    <t xml:space="preserve">employ additional youth in the next financial year. </t>
  </si>
  <si>
    <t xml:space="preserve">6. Research and development expenditure comprised of: </t>
  </si>
  <si>
    <t xml:space="preserve">•    Sh.160,000,000 on general research. </t>
  </si>
  <si>
    <r>
      <t>the start of the year. The remaining useful life was 20 years as at 1 November 2022.</t>
    </r>
    <r>
      <rPr>
        <b/>
        <sz val="12"/>
        <color rgb="FF000000"/>
        <rFont val="Times New Roman"/>
        <family val="1"/>
      </rPr>
      <t xml:space="preserve"> </t>
    </r>
  </si>
  <si>
    <t xml:space="preserve">9. As at 31 October 2023, the values were as follows: </t>
  </si>
  <si>
    <t xml:space="preserve">• Land Sh.2,500,000,000 </t>
  </si>
  <si>
    <t xml:space="preserve">•  Building Sh.1,140,000,000 </t>
  </si>
  <si>
    <t xml:space="preserve">•  50% on production. </t>
  </si>
  <si>
    <t xml:space="preserve">•  25% in the administrative functions. </t>
  </si>
  <si>
    <t xml:space="preserve">•  25% in the distribution functions. </t>
  </si>
  <si>
    <t xml:space="preserve">(a)  A statement of comprehensive income for the year ended 31 October 2023. (10 marks) </t>
  </si>
  <si>
    <t xml:space="preserve">(b)  Statement of financial position as at 30 October 2023. (10 marks) </t>
  </si>
  <si>
    <t>SECTION III (20 MARKS)</t>
  </si>
  <si>
    <t xml:space="preserve">Answer only ONE (1) question in this section. </t>
  </si>
  <si>
    <t>QUESTION 24:</t>
  </si>
  <si>
    <t>You have a new audit client, Miriam Akello, who began a dental practice at AMK Doctors' Plaza in the year 2023.</t>
  </si>
  <si>
    <t>The following transactions took place during the year ended 31 December 2023:</t>
  </si>
  <si>
    <t xml:space="preserve">1.     Miriam opened a separate bank account for the practice and deposited Sh.5 million as capital.In addition, she obtained a loan from the bank </t>
  </si>
  <si>
    <t xml:space="preserve">        amounting to Sh.5 million at an interest rate of 12% annually. The loan will be paid over a 5 year period at Sh.1 million annually,  together with  </t>
  </si>
  <si>
    <t xml:space="preserve">        interest due at the end of each year. </t>
  </si>
  <si>
    <t xml:space="preserve">       </t>
  </si>
  <si>
    <t>2.     Miriam imported three dental equipment at a price of Sh.600,000 each and incurred freight, insurance and port clearance costs of Sh.200,000.</t>
  </si>
  <si>
    <t xml:space="preserve">        The equipment is depreciated over five years. </t>
  </si>
  <si>
    <t>3.    Miriam also bought other equipment for Sh.1 million, furniture and fixtures for Sh.2 million and dental books worth Sh.500,000. Both the equipment</t>
  </si>
  <si>
    <t xml:space="preserve">       and furniture were to be depreciated over 8 years, while the dental books have a useful life  of 5 years for the purpose of amortisation. </t>
  </si>
  <si>
    <t>4.    Miriam hired a dental assistant, who also doubled as the clinic administrator at Sh.60,000 monthly salary,  a receptionist, carrying out  other clerical duties</t>
  </si>
  <si>
    <t xml:space="preserve">       at Sh.30,000 per month and a cleaner/casual at Sh.15,000 per month. They all began employment on 1 January 2023.</t>
  </si>
  <si>
    <t xml:space="preserve">5.    Miriam also hired the services of two other dentists to serve the increased number of patients or when she was visiting another hospital for consultation. </t>
  </si>
  <si>
    <t xml:space="preserve">       During the year, the two dentists were paid for professional services at Sh.2 million.  In addition, Miriam offered some interns learning  </t>
  </si>
  <si>
    <t xml:space="preserve">       opportunities and paid them a total stipend of Sh.300,000. </t>
  </si>
  <si>
    <t>6.    During the year, patients paid Sh.6 million in cash, while those on various insurance and medical covers were treated at a total of Sh.4 million.</t>
  </si>
  <si>
    <t xml:space="preserve">       By the end of the year, the corporates and insurance companies had paid Sh.2.8 million directly into the business bank account. Miriam also noted</t>
  </si>
  <si>
    <t xml:space="preserve">       that a client owing Sh.200,000 became bankrupt and would likely not pay, while the balance had nearly 0% probability of default. </t>
  </si>
  <si>
    <t>7.   The cash that was received was banked but after paying for the following items:</t>
  </si>
  <si>
    <t xml:space="preserve">      Cash drawings for personal use by Miriam averaged Sh.40,000 per month. By the end of the year, only Sh.120,000 was available in the office safe.</t>
  </si>
  <si>
    <t xml:space="preserve">8.    Majority of transactions took place in the bank, except for the one highlighted in note 7. </t>
  </si>
  <si>
    <t xml:space="preserve">       Miriam placed some amount in a fixed deposit account and earned interest of Sh.120,000. Other expenses were mainly salaries to staff, interest on loan, rent </t>
  </si>
  <si>
    <t xml:space="preserve">       of Sh.100,000 per month, electricity and water worth Sh.60,000 for 11 months to 30 November 2023. She also paid Sh.30,000 as subscriptions to the </t>
  </si>
  <si>
    <t xml:space="preserve">       dental association.</t>
  </si>
  <si>
    <t xml:space="preserve">       Note that Miriam had paid 3 months' deposit on rent, which was refundable upon the termination of the lease. </t>
  </si>
  <si>
    <t xml:space="preserve">       Miriam also drew Sh.60,000 every month for personal expenses from the bank. Meanwhile, the electricity and water bills for December 2023</t>
  </si>
  <si>
    <t xml:space="preserve">       had not been paid, but were subsequently received and settled in January 2024 at Sh.4,500.  </t>
  </si>
  <si>
    <t>9.    Miriam bought surgical and prescription medicine worth Sh.1.5 million on credit. By the end of the year, she had already paid Sh.800,000 of the amount</t>
  </si>
  <si>
    <t xml:space="preserve">       owing while surgical and prescription medicine worth Sh.400,000 was available by the end of the year. </t>
  </si>
  <si>
    <t>Required:</t>
  </si>
  <si>
    <t xml:space="preserve">Prepare </t>
  </si>
  <si>
    <t xml:space="preserve">       ●     Surgical and prescription medicine Sh.500,000</t>
  </si>
  <si>
    <t xml:space="preserve">       ●     Stationery Sh.40,000</t>
  </si>
  <si>
    <t xml:space="preserve">       ●     Cleaning consumables Sh.20,000</t>
  </si>
  <si>
    <t xml:space="preserve">Angela Riziki started a wholesale business on 1 July 2023 by depositing Sh.12,000,000 into a business bank account. </t>
  </si>
  <si>
    <t>Finance cost</t>
  </si>
  <si>
    <t xml:space="preserve">(ii  Statement of changes in equity for the year ended 30 June 2024. </t>
  </si>
  <si>
    <t xml:space="preserve">(iii) Statement of financial position as at 30 June 2024. </t>
  </si>
  <si>
    <t>shs</t>
  </si>
  <si>
    <t>Finance cost payable</t>
  </si>
  <si>
    <r>
      <t>(a)</t>
    </r>
    <r>
      <rPr>
        <sz val="12"/>
        <color rgb="FF000000"/>
        <rFont val="Times New Roman"/>
        <family val="1"/>
      </rPr>
      <t>  The following trial balance was extracted from the books of Lakers Ltd. as at 30 June 2024:</t>
    </r>
  </si>
  <si>
    <t>Revaluation of property-Land</t>
  </si>
  <si>
    <t>Revaluation of property-Buildings</t>
  </si>
  <si>
    <t>Depreciation of property</t>
  </si>
  <si>
    <t>Depreciation of Plant and equipment</t>
  </si>
  <si>
    <t>Depreciation of Motor Vehicles</t>
  </si>
  <si>
    <t>Depreciation Funiture and fixtures</t>
  </si>
  <si>
    <t>Investment income (Fair value gain)</t>
  </si>
  <si>
    <t>Finance cost paid</t>
  </si>
  <si>
    <t>Inventory 30 June 2024</t>
  </si>
  <si>
    <t>Motor vehicles</t>
  </si>
  <si>
    <t>Details</t>
  </si>
  <si>
    <t>(a) Statement of profit or loss for the year ended 31st Decemebr 2023. (12 marks)</t>
  </si>
  <si>
    <t xml:space="preserve"> (b) Statement of financial position as at 31st Decemebr 2023. (8 marks)</t>
  </si>
  <si>
    <t>Buildings</t>
  </si>
  <si>
    <t>Sh.</t>
  </si>
  <si>
    <t>Retained earnings as at 1 January 2024</t>
  </si>
  <si>
    <t>Sales</t>
  </si>
  <si>
    <t>Accounts receivables</t>
  </si>
  <si>
    <t>Accounts payables</t>
  </si>
  <si>
    <t>Other receivables</t>
  </si>
  <si>
    <t>10% debentures</t>
  </si>
  <si>
    <t>Investment income</t>
  </si>
  <si>
    <t>Investment property (4% interest rate)</t>
  </si>
  <si>
    <t>Income tax expense</t>
  </si>
  <si>
    <t>Tax payable account</t>
  </si>
  <si>
    <t>Allowance for credit loss</t>
  </si>
  <si>
    <t>Allowance for depreciation:</t>
  </si>
  <si>
    <t>Rhino Ltd. extracted the following trial balance as at 31 December 2024</t>
  </si>
  <si>
    <t>Additional information:</t>
  </si>
  <si>
    <t>-  5% on cost</t>
  </si>
  <si>
    <t>Credit :  Retained profits</t>
  </si>
  <si>
    <r>
      <t>(i)</t>
    </r>
    <r>
      <rPr>
        <sz val="7"/>
        <color theme="1"/>
        <rFont val="Times New Roman"/>
        <family val="1"/>
      </rPr>
      <t xml:space="preserve">                  </t>
    </r>
    <r>
      <rPr>
        <sz val="10"/>
        <color theme="1"/>
        <rFont val="Times New Roman"/>
        <family val="1"/>
      </rPr>
      <t>Statement of profit or loss for the year ended 31 December 2024.</t>
    </r>
  </si>
  <si>
    <r>
      <t>(ii)</t>
    </r>
    <r>
      <rPr>
        <sz val="7"/>
        <color theme="1"/>
        <rFont val="Times New Roman"/>
        <family val="1"/>
      </rPr>
      <t xml:space="preserve">                </t>
    </r>
    <r>
      <rPr>
        <sz val="10"/>
        <color theme="1"/>
        <rFont val="Times New Roman"/>
        <family val="1"/>
      </rPr>
      <t>Statement of financial position as at 31 December 2024.</t>
    </r>
  </si>
  <si>
    <r>
      <t>1.</t>
    </r>
    <r>
      <rPr>
        <sz val="10"/>
        <color theme="1"/>
        <rFont val="Times New Roman"/>
        <family val="1"/>
      </rPr>
      <t>Rhino Ltd. held an inventory count at the year end</t>
    </r>
    <r>
      <rPr>
        <sz val="11"/>
        <color theme="1"/>
        <rFont val="Times New Roman"/>
        <family val="1"/>
      </rPr>
      <t xml:space="preserve"> which revealed that </t>
    </r>
  </si>
  <si>
    <t xml:space="preserve">These will need to be sold at a 40% discount on selling price in order to sell them. </t>
  </si>
  <si>
    <t>Rhino sells these goods at a mark up of 20%.</t>
  </si>
  <si>
    <r>
      <t>4.</t>
    </r>
    <r>
      <rPr>
        <b/>
        <sz val="7"/>
        <color theme="1"/>
        <rFont val="Times New Roman"/>
        <family val="1"/>
      </rPr>
      <t> </t>
    </r>
    <r>
      <rPr>
        <b/>
        <sz val="10"/>
        <color theme="1"/>
        <rFont val="Times New Roman"/>
        <family val="1"/>
      </rPr>
      <t xml:space="preserve">Depreciation is provided per annum as follows: </t>
    </r>
  </si>
  <si>
    <t>- 10% on reducing balance</t>
  </si>
  <si>
    <t xml:space="preserve"> Motor vehicles  </t>
  </si>
  <si>
    <t>-   25% on reducing balance</t>
  </si>
  <si>
    <t>This had been treated as shown below in the financial statements:</t>
  </si>
  <si>
    <t>were found to be recoverable in the year ended 31 December 2024.</t>
  </si>
  <si>
    <r>
      <t>7.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Times New Roman"/>
        <family val="1"/>
      </rPr>
      <t>The company’s policy is to provide for allowance for credit loss at a rate of 4%.</t>
    </r>
  </si>
  <si>
    <t>Buildings at cost (1 January 2024)</t>
  </si>
  <si>
    <t>Equipment at cost (1 January 2024)</t>
  </si>
  <si>
    <t>Inventory (1 January 2024)</t>
  </si>
  <si>
    <t xml:space="preserve">Included in this figure is Sh.3,200 of slow moving inventories at cost. </t>
  </si>
  <si>
    <r>
      <t>2.</t>
    </r>
    <r>
      <rPr>
        <sz val="7"/>
        <color theme="1"/>
        <rFont val="Times New Roman"/>
        <family val="1"/>
      </rPr>
      <t> </t>
    </r>
    <r>
      <rPr>
        <sz val="10"/>
        <color theme="1"/>
        <rFont val="Times New Roman"/>
        <family val="1"/>
      </rPr>
      <t>Equipment costing Sh.150,000 was acquired on credit from Tausi Traders. This had not been recorded in the books.</t>
    </r>
  </si>
  <si>
    <r>
      <t>3.</t>
    </r>
    <r>
      <rPr>
        <sz val="7"/>
        <color theme="1"/>
        <rFont val="Times New Roman"/>
        <family val="1"/>
      </rPr>
      <t> </t>
    </r>
    <r>
      <rPr>
        <sz val="10"/>
        <color theme="1"/>
        <rFont val="Times New Roman"/>
        <family val="1"/>
      </rPr>
      <t>A building was disposed of for Sh.140,000 on 31 October 2024. This building had been purchased 8 years ago for Sh.200,000.</t>
    </r>
  </si>
  <si>
    <t>Debit :  Other receivables   Sh.40,000</t>
  </si>
  <si>
    <t>Sh.40,000</t>
  </si>
  <si>
    <r>
      <t>6.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Times New Roman"/>
        <family val="1"/>
      </rPr>
      <t xml:space="preserve">80% of credit loss of Sh.6,000 that had been written off to administrative expenses </t>
    </r>
  </si>
  <si>
    <t>the year end inventories at cost amounted to Sh.268,460.</t>
  </si>
  <si>
    <r>
      <t>5.</t>
    </r>
    <r>
      <rPr>
        <sz val="7"/>
        <color theme="1"/>
        <rFont val="Times New Roman"/>
        <family val="1"/>
      </rPr>
      <t> </t>
    </r>
    <r>
      <rPr>
        <sz val="10"/>
        <color theme="1"/>
        <rFont val="Times New Roman"/>
        <family val="1"/>
      </rPr>
      <t xml:space="preserve">At the year end, the directors declared dividends of Sh.40,000 for the year ended 31 December 2024. </t>
    </r>
  </si>
  <si>
    <t xml:space="preserve">Angela Riziki did not maintain a full set of accounting records. </t>
  </si>
  <si>
    <t xml:space="preserve">The following transactions took place during the year ended 30 June 2024: </t>
  </si>
  <si>
    <t xml:space="preserve">1. Brought in her personal pick-up van valued at Sh.6,000,000 to be used in the business. </t>
  </si>
  <si>
    <t>The van was estimated to have an economic useful life of 4 years as at 1 July 2023.</t>
  </si>
  <si>
    <t>rate of 15% per annum. At the end of the year the loan interest was in arrears.</t>
  </si>
  <si>
    <t xml:space="preserve"> 2. On 31 December 2023, she took a bank loan of Sh.4,000,000 at an interest </t>
  </si>
  <si>
    <t xml:space="preserve"> 3. During the year ended 30 June 2024, Angela purchased goods amounting  </t>
  </si>
  <si>
    <t>to Sh.79,000,000 on credit and Sh.6,000,000 on cash paid through the bank.</t>
  </si>
  <si>
    <t>A customer who owed Sh.1,500,000 was declared bankrupt and the debt had to</t>
  </si>
  <si>
    <t xml:space="preserve"> be written off. By 30 June 2024, accounts receivable stood at Sh.5,500,000. </t>
  </si>
  <si>
    <t xml:space="preserve">5. During the year, Angela Riziki spent Sh.2,500,000 of the cash sales received for </t>
  </si>
  <si>
    <t xml:space="preserve">her personal use and Sh.1,200,000 to pay for telephone and water bills. The balance was banked. </t>
  </si>
  <si>
    <t xml:space="preserve">6. Discount received and discount allowed during the year ended </t>
  </si>
  <si>
    <t xml:space="preserve">30 June 2024 amounted to Sh.1,800,000 and 1,100,000 respectively. </t>
  </si>
  <si>
    <t xml:space="preserve">11. As at 30 June 2024, electricity bills unpaid amounted to Sh.450,000, </t>
  </si>
  <si>
    <t xml:space="preserve">while insurance prepaid was Sh.1,200,000. </t>
  </si>
  <si>
    <t xml:space="preserve">2.     As at 30 June 2023, accounts receivables included Sh.130,000 due from Johnson Wetu who </t>
  </si>
  <si>
    <t>has now been declared bankrupt.  It has been decided to write off this debt as a bad debt.</t>
  </si>
  <si>
    <t xml:space="preserve">8.   The company directors propose that the preference shares dividend </t>
  </si>
  <si>
    <t>be paid and a dividend of 10% of the ordinary shares be paid.</t>
  </si>
  <si>
    <t xml:space="preserve">•      Sh.134,000,000 on developing new technology. </t>
  </si>
  <si>
    <t xml:space="preserve">At the end of the year the directors did not have confidence that the development will be successful. </t>
  </si>
  <si>
    <t xml:space="preserve"> almost complete and the directors are highly confident that the technology would result in significant cost savings. </t>
  </si>
  <si>
    <t>•     Sh.646,000,000 on development of new production technology. The development is</t>
  </si>
  <si>
    <t xml:space="preserve">7. Intangible assets at cost relate to a development that was being amortised over a useful life of 10 years. </t>
  </si>
  <si>
    <t xml:space="preserve">As at 1 November 2022, this was reviewed and was then assessed as having a remaining useful life of 6 years. </t>
  </si>
  <si>
    <t xml:space="preserve">8. The Sh.3,400,000,000 relating to land and building is based on last year’s valuation and includes land </t>
  </si>
  <si>
    <t xml:space="preserve">at a valuation of Sh.2,000,000,000 and has an indefinite useful life. The building should be depreciated on the value at </t>
  </si>
  <si>
    <t xml:space="preserve">10. Equipment is depreciated on straight line basis over 5 years. Gala Ltd. </t>
  </si>
  <si>
    <t xml:space="preserve">estimated that the equipment is used in the business on the following basis: </t>
  </si>
  <si>
    <t xml:space="preserve">11.  As at 31 October 2023, investment property was valued at Sh. 5,000,000,000 and </t>
  </si>
  <si>
    <t xml:space="preserve">the company policy is to use fair value on investment valuation. </t>
  </si>
  <si>
    <t xml:space="preserve">                SECTION II (60 MARKS)</t>
  </si>
  <si>
    <t xml:space="preserve">Answer ALL questions in this section. </t>
  </si>
  <si>
    <t>Farasi Limited has prepared the following trial balance for the year ended 31 March 2025:</t>
  </si>
  <si>
    <t>Sh."million"</t>
  </si>
  <si>
    <t>Selling and distribution costs</t>
  </si>
  <si>
    <t>Administration expenses</t>
  </si>
  <si>
    <t>Restructuring Costs:</t>
  </si>
  <si>
    <t>Interest paid on loan stock</t>
  </si>
  <si>
    <t xml:space="preserve">Land and buildings </t>
  </si>
  <si>
    <t>Accumulated depreciation (31 March 2024):</t>
  </si>
  <si>
    <t>Investment properties at fair value</t>
  </si>
  <si>
    <t>Inventory as at 31 March 2025</t>
  </si>
  <si>
    <t>Expected credit loss</t>
  </si>
  <si>
    <t>Bank and cash</t>
  </si>
  <si>
    <t>Revaluation surplus</t>
  </si>
  <si>
    <t>Retained earnings as at 31 March 2024</t>
  </si>
  <si>
    <t>Dividend Paid</t>
  </si>
  <si>
    <t>8% loan stock</t>
  </si>
  <si>
    <t>Deferred tax</t>
  </si>
  <si>
    <t>Trade payables</t>
  </si>
  <si>
    <t>Suspense account</t>
  </si>
  <si>
    <t>1.     The followig depreciation rates apply:</t>
  </si>
  <si>
    <t>Rate</t>
  </si>
  <si>
    <t>Method</t>
  </si>
  <si>
    <t>Classification</t>
  </si>
  <si>
    <t xml:space="preserve">        Buildings (Sh.3,030 million)</t>
  </si>
  <si>
    <t>Straight Line</t>
  </si>
  <si>
    <t>Administration expense</t>
  </si>
  <si>
    <t xml:space="preserve">        Plant and equipment</t>
  </si>
  <si>
    <t>Reducing balance</t>
  </si>
  <si>
    <t xml:space="preserve">2.     Income tax expense for the year is Sh.78 million and deferred tax expense, beside that arising  from revaluation above is Sh.20 million. </t>
  </si>
  <si>
    <t>3.     The interest on loan stock is paid semi-annualy on 1 April and 1 October.</t>
  </si>
  <si>
    <t xml:space="preserve">5.     The suspense account relates to the issue of 2 million new ordinary shares for cash  at Sh.120 per share. One share has a par value of Sh.100. </t>
  </si>
  <si>
    <t>6.     The  company has not adjusted for a credit loss of Sh.15 million. The expected credit  loss  on the remaining trade receivables is determined</t>
  </si>
  <si>
    <t xml:space="preserve">        from the following probabilities of default:</t>
  </si>
  <si>
    <t xml:space="preserve">        (This is a selling and distribution cost)</t>
  </si>
  <si>
    <t>Probability of Default</t>
  </si>
  <si>
    <t xml:space="preserve"> Sh."000"</t>
  </si>
  <si>
    <t>Prepare for publication:</t>
  </si>
  <si>
    <t xml:space="preserve">(a)      The statement of profit or loss and other comprehensive incomes for the year ended 31 March 2025.                  </t>
  </si>
  <si>
    <t xml:space="preserve">(b)      The statement of changes in equity as at 31 March 2025.                                                                        </t>
  </si>
  <si>
    <t xml:space="preserve">(c)      The statement of financial position as at 31 March 2025.                                                                     </t>
  </si>
  <si>
    <t>Adjusted TB</t>
  </si>
  <si>
    <t>Unadjusted</t>
  </si>
  <si>
    <t>Adjustements</t>
  </si>
  <si>
    <t>TOTAL</t>
  </si>
  <si>
    <t>CHECK</t>
  </si>
  <si>
    <t>000'</t>
  </si>
  <si>
    <t>Capital</t>
  </si>
  <si>
    <t>Pick-up van cost</t>
  </si>
  <si>
    <t>Depreciation -pick-up van</t>
  </si>
  <si>
    <t>Provision for depreciation-pick-up van</t>
  </si>
  <si>
    <t>Bank loan</t>
  </si>
  <si>
    <t>Cash at hand</t>
  </si>
  <si>
    <t>trade receivables</t>
  </si>
  <si>
    <t>Bad debts w/o</t>
  </si>
  <si>
    <t>Drawings</t>
  </si>
  <si>
    <t>Tepehone and water bills</t>
  </si>
  <si>
    <t>Discount received</t>
  </si>
  <si>
    <t>Discount Allowed</t>
  </si>
  <si>
    <t>Closing Inventory-IS</t>
  </si>
  <si>
    <t>Closing Inventory-SOFP</t>
  </si>
  <si>
    <t>Depreciation -furniture</t>
  </si>
  <si>
    <t>Provision for depreciation-furniture</t>
  </si>
  <si>
    <t>Accrued electricity bills</t>
  </si>
  <si>
    <t>Prepaid Insurance</t>
  </si>
  <si>
    <t>INCOME STASTEMENT</t>
  </si>
  <si>
    <t>cost of sales</t>
  </si>
  <si>
    <t xml:space="preserve">opening stock </t>
  </si>
  <si>
    <t>purchases</t>
  </si>
  <si>
    <t>carriage inwards</t>
  </si>
  <si>
    <t>less closing stock</t>
  </si>
  <si>
    <t>gross profit</t>
  </si>
  <si>
    <t>other income</t>
  </si>
  <si>
    <t>discount received</t>
  </si>
  <si>
    <t>Total income</t>
  </si>
  <si>
    <t>Expenses</t>
  </si>
  <si>
    <t>EBITDA</t>
  </si>
  <si>
    <t>EBIT</t>
  </si>
  <si>
    <t>EBT</t>
  </si>
  <si>
    <t>Tax expenses</t>
  </si>
  <si>
    <t>EAT/profit for the year</t>
  </si>
  <si>
    <t>Retained earmnings b/d</t>
  </si>
  <si>
    <t>Retained earmnings c/d</t>
  </si>
  <si>
    <t>STATEMENT OF FINANCIAL POSITION</t>
  </si>
  <si>
    <t>As at 30 June 2025</t>
  </si>
  <si>
    <t>NON-CURRENT ASSETS</t>
  </si>
  <si>
    <t>Pick-up van</t>
  </si>
  <si>
    <t xml:space="preserve">Furniture </t>
  </si>
  <si>
    <t>CURRENT ASSETS</t>
  </si>
  <si>
    <t>Inventory</t>
  </si>
  <si>
    <t>Prepayments</t>
  </si>
  <si>
    <t>TOTAL ASSETS</t>
  </si>
  <si>
    <t>EQUITY &amp; LIABILITIES</t>
  </si>
  <si>
    <t>EQUITY</t>
  </si>
  <si>
    <t>RESERVES</t>
  </si>
  <si>
    <t>Retained earnings c/d</t>
  </si>
  <si>
    <t>Shareholders Equity</t>
  </si>
  <si>
    <t>NON-CURENTV LIABILITIES</t>
  </si>
  <si>
    <t>bank Loan</t>
  </si>
  <si>
    <t>CURRENT LIABILITIES</t>
  </si>
  <si>
    <t>TOTAL LIABILITIES</t>
  </si>
  <si>
    <t>TOTAL EQUITY &amp; LIABILITIES</t>
  </si>
  <si>
    <t>Check</t>
  </si>
  <si>
    <t>Accued electricity</t>
  </si>
  <si>
    <t>UNADJUSTED TB</t>
  </si>
  <si>
    <t>ADJUSTMENTS</t>
  </si>
  <si>
    <t>ADJUSTED TB</t>
  </si>
  <si>
    <t>Depreciation-Dental equipment</t>
  </si>
  <si>
    <t>Dental equipment at cost</t>
  </si>
  <si>
    <t>Accumulated depreciation-Dental equipment</t>
  </si>
  <si>
    <t>Other equipment at cost</t>
  </si>
  <si>
    <t>Dental Books at cost</t>
  </si>
  <si>
    <t>Depreciation-other equipment</t>
  </si>
  <si>
    <t>Depreciation- furniture and fixtures</t>
  </si>
  <si>
    <t>Amortization-Dental books</t>
  </si>
  <si>
    <t>Accumulated depreciation-furniture and fixtures</t>
  </si>
  <si>
    <t>Accumulated depreciation-other equipment</t>
  </si>
  <si>
    <t>Accumulated Amortization-Dental books</t>
  </si>
  <si>
    <t>Salary-Clinical assistant</t>
  </si>
  <si>
    <t>Salary-Receptionist</t>
  </si>
  <si>
    <t>Salary-Cleaner</t>
  </si>
  <si>
    <t>Professional fees</t>
  </si>
  <si>
    <t>Dental interns</t>
  </si>
  <si>
    <t>Surginal and prescription medicine</t>
  </si>
  <si>
    <t>Stationery</t>
  </si>
  <si>
    <t>Cleaning consumables</t>
  </si>
  <si>
    <t>Interest income</t>
  </si>
  <si>
    <t>Rent expense</t>
  </si>
  <si>
    <t>Electricity and water</t>
  </si>
  <si>
    <t>Subsription to the dental association</t>
  </si>
  <si>
    <t xml:space="preserve">Accued electricity and water </t>
  </si>
  <si>
    <t>Rent deposit receivable</t>
  </si>
  <si>
    <t>Closing stock-IS</t>
  </si>
  <si>
    <t>Closing stock-SOFP</t>
  </si>
  <si>
    <t>INCOME STATEMENT</t>
  </si>
  <si>
    <t>Opening stock</t>
  </si>
  <si>
    <t>Add Purchases</t>
  </si>
  <si>
    <t>COGAS</t>
  </si>
  <si>
    <t>Less closing stock</t>
  </si>
  <si>
    <t>Gross profit</t>
  </si>
  <si>
    <t>Other income</t>
  </si>
  <si>
    <t>Total Income</t>
  </si>
  <si>
    <t>Administrative cost</t>
  </si>
  <si>
    <t>PBT</t>
  </si>
  <si>
    <t>Current tax</t>
  </si>
  <si>
    <t>Deffered tax</t>
  </si>
  <si>
    <t>Profit for the year</t>
  </si>
  <si>
    <t>NON CURRENT ASSETS</t>
  </si>
  <si>
    <t>PPE</t>
  </si>
  <si>
    <t>Investment property</t>
  </si>
  <si>
    <t>Intangible assets</t>
  </si>
  <si>
    <t>Cash and cash equivalents</t>
  </si>
  <si>
    <t>EQUITY AND LIABILITIES</t>
  </si>
  <si>
    <t>Share premiums</t>
  </si>
  <si>
    <t>Retained earnings</t>
  </si>
  <si>
    <t>General reserves</t>
  </si>
  <si>
    <t>SHAREHOLDERS' EQUITY</t>
  </si>
  <si>
    <t>NON CURRENT LIABILITIES</t>
  </si>
  <si>
    <t>current tax</t>
  </si>
  <si>
    <t>finance cost payable</t>
  </si>
  <si>
    <t>TOTAL EQUITY AND LIABILITIES</t>
  </si>
  <si>
    <t>Retained earnings b/d</t>
  </si>
  <si>
    <t>Accruals</t>
  </si>
  <si>
    <t>Administrative costs</t>
  </si>
  <si>
    <t>selling and distribution costs</t>
  </si>
  <si>
    <t>OCI</t>
  </si>
  <si>
    <t>other Income</t>
  </si>
  <si>
    <t>sh  000</t>
  </si>
  <si>
    <t>Opening Inventory</t>
  </si>
  <si>
    <t>Interest on Loan stock</t>
  </si>
  <si>
    <t>Depreciation of land and buildings</t>
  </si>
  <si>
    <t>depreciation of  plant and equipment</t>
  </si>
  <si>
    <t>Closing Inventory</t>
  </si>
  <si>
    <t>Accum depreciation</t>
  </si>
  <si>
    <t>NBV  as at 1 July 2022</t>
  </si>
  <si>
    <t xml:space="preserve">Proceeds on disposal </t>
  </si>
  <si>
    <t>Loss on disposal of equipmet</t>
  </si>
  <si>
    <t>Loss on disposal</t>
  </si>
  <si>
    <t>cost of equipment disposed</t>
  </si>
  <si>
    <t>PLANT AND EQUIPMENT</t>
  </si>
  <si>
    <t>cost of the plant and equipment</t>
  </si>
  <si>
    <t>Accumulated depreciation as at 1 July 2022</t>
  </si>
  <si>
    <t>NBV ast at 1st July 2022</t>
  </si>
  <si>
    <t>Depreciation expense-</t>
  </si>
  <si>
    <t>depreciation rate 20%reducing balance method</t>
  </si>
  <si>
    <t>NBV of the remaining equipment</t>
  </si>
  <si>
    <t>NBV  as at 30 June 2023</t>
  </si>
  <si>
    <t>cost of the land</t>
  </si>
  <si>
    <t>Land and buildings at cost</t>
  </si>
  <si>
    <t>Useful life(depreciate using SLN)</t>
  </si>
  <si>
    <t>Accumulated depreciation as at 1 july 2022</t>
  </si>
  <si>
    <t>used useful life</t>
  </si>
  <si>
    <t>Remaining useful life</t>
  </si>
  <si>
    <t>Total accum dep over 50 years+ salvage value=cost of the buildings</t>
  </si>
  <si>
    <t>Itb is only the buldings that will be depreciated</t>
  </si>
  <si>
    <t>Annual depreciation expense</t>
  </si>
  <si>
    <t>Cost of the buildings</t>
  </si>
  <si>
    <t>salvage value</t>
  </si>
  <si>
    <t>Land</t>
  </si>
  <si>
    <t>Total</t>
  </si>
  <si>
    <t>Cost</t>
  </si>
  <si>
    <t>Accum depreciation as at 1 july 2022</t>
  </si>
  <si>
    <t>NBV as at 1st July 2022</t>
  </si>
  <si>
    <t>Depreciation expense</t>
  </si>
  <si>
    <t>NBV as at 30 June 2023 before revaluation</t>
  </si>
  <si>
    <t>NBV as at 30 June 2023 after revaluation</t>
  </si>
  <si>
    <t>Revaluation Surplus</t>
  </si>
  <si>
    <t>Increase/Decrease in provision for bad debts</t>
  </si>
  <si>
    <t>=(1/4)*Par value*NOS</t>
  </si>
  <si>
    <t>Par value*NOS</t>
  </si>
  <si>
    <t>BONUS Issue</t>
  </si>
  <si>
    <t>DR general reserves</t>
  </si>
  <si>
    <t>CR OSC</t>
  </si>
  <si>
    <t>Fair value adjustment</t>
  </si>
  <si>
    <t>Other Income</t>
  </si>
  <si>
    <t>Tax expense</t>
  </si>
  <si>
    <t>Total Comprehensive Income</t>
  </si>
  <si>
    <t>STATEMENT OF CHANGES IN EQUITY</t>
  </si>
  <si>
    <t>OSC</t>
  </si>
  <si>
    <t>Bal b/d</t>
  </si>
  <si>
    <t>Bonus Issue</t>
  </si>
  <si>
    <t>Dividends</t>
  </si>
  <si>
    <t>Current Tax</t>
  </si>
  <si>
    <t>increase in provision</t>
  </si>
  <si>
    <t xml:space="preserve">        Meanwhile, land was revalued to Sh.2,400 million on 31 March 2025.</t>
  </si>
  <si>
    <t xml:space="preserve">4.     The investment properties had a fair value of Sh.2440 million as at 31 March 2025. </t>
  </si>
  <si>
    <t>Issuing of shares</t>
  </si>
  <si>
    <t>DETAILS</t>
  </si>
  <si>
    <t>SOFP</t>
  </si>
  <si>
    <t>Accum depreciation-plant and equipment</t>
  </si>
  <si>
    <t>Accum depreciation-Buildings</t>
  </si>
  <si>
    <t>Depreciation-Buildings</t>
  </si>
  <si>
    <t>Depreciation-Plant and Equipment</t>
  </si>
  <si>
    <t>assume tax rate is 30%</t>
  </si>
  <si>
    <t>Interest  on loan stock</t>
  </si>
  <si>
    <t>FV gain on investment property</t>
  </si>
  <si>
    <t>suspense account</t>
  </si>
  <si>
    <t>SHARE PREMIUM</t>
  </si>
  <si>
    <t>bal b/d</t>
  </si>
  <si>
    <t>suspense</t>
  </si>
  <si>
    <t>SP</t>
  </si>
  <si>
    <t>Bal c/d</t>
  </si>
  <si>
    <t>bal c/d</t>
  </si>
  <si>
    <t>Credit loss</t>
  </si>
  <si>
    <t>at as 31st march 2025</t>
  </si>
  <si>
    <t>as at 31st March 2024</t>
  </si>
  <si>
    <t>Increase in provision for credit loss</t>
  </si>
  <si>
    <t>FS CLASSES</t>
  </si>
  <si>
    <t>finance cost</t>
  </si>
  <si>
    <t>SOCE</t>
  </si>
  <si>
    <t>Revaluation gain on land</t>
  </si>
  <si>
    <t>deferred tax</t>
  </si>
  <si>
    <t>Revaluation reserves</t>
  </si>
  <si>
    <t>Millions</t>
  </si>
  <si>
    <t>millions</t>
  </si>
  <si>
    <t>FARASI LIMITED</t>
  </si>
  <si>
    <t>Property Plant &amp;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</si>
</sst>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(* #,##0.0_);_(* \(#,##0.0\);_(* &quot;-&quot;?_);_(@_)"/>
    <numFmt numFmtId="169" formatCode="#,##0.00;\(#,##0.00\)"/>
    <numFmt numFmtId="170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u val="singleAccounting"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u/>
      <sz val="12"/>
      <color theme="1"/>
      <name val="Times New Roman"/>
      <family val="1"/>
    </font>
    <font>
      <u val="double"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u val="doubleAccounting"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166" fontId="3" fillId="0" borderId="0" xfId="1" applyNumberFormat="1" applyFont="1"/>
    <xf numFmtId="165" fontId="4" fillId="0" borderId="2" xfId="1" applyNumberFormat="1" applyFont="1" applyBorder="1"/>
    <xf numFmtId="165" fontId="3" fillId="0" borderId="0" xfId="1" applyNumberFormat="1" applyFont="1" applyAlignment="1">
      <alignment horizontal="left"/>
    </xf>
    <xf numFmtId="165" fontId="5" fillId="0" borderId="0" xfId="1" applyNumberFormat="1" applyFont="1" applyAlignment="1">
      <alignment horizontal="left"/>
    </xf>
    <xf numFmtId="165" fontId="3" fillId="0" borderId="0" xfId="1" applyNumberFormat="1" applyFont="1" applyBorder="1" applyAlignment="1">
      <alignment horizontal="left"/>
    </xf>
    <xf numFmtId="165" fontId="3" fillId="0" borderId="0" xfId="1" applyNumberFormat="1" applyFont="1" applyBorder="1" applyAlignment="1">
      <alignment horizontal="centerContinuous"/>
    </xf>
    <xf numFmtId="165" fontId="3" fillId="0" borderId="1" xfId="1" applyNumberFormat="1" applyFont="1" applyBorder="1" applyAlignment="1">
      <alignment horizontal="left"/>
    </xf>
    <xf numFmtId="165" fontId="4" fillId="0" borderId="1" xfId="1" applyNumberFormat="1" applyFont="1" applyBorder="1" applyAlignment="1">
      <alignment horizontal="left"/>
    </xf>
    <xf numFmtId="165" fontId="3" fillId="0" borderId="0" xfId="1" quotePrefix="1" applyNumberFormat="1" applyFont="1" applyAlignment="1">
      <alignment horizontal="left"/>
    </xf>
    <xf numFmtId="165" fontId="3" fillId="0" borderId="2" xfId="1" applyNumberFormat="1" applyFont="1" applyBorder="1" applyAlignment="1">
      <alignment horizontal="left"/>
    </xf>
    <xf numFmtId="165" fontId="6" fillId="0" borderId="0" xfId="1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/>
    <xf numFmtId="165" fontId="4" fillId="0" borderId="0" xfId="1" applyNumberFormat="1" applyFont="1" applyBorder="1"/>
    <xf numFmtId="165" fontId="4" fillId="0" borderId="0" xfId="1" applyNumberFormat="1" applyFont="1"/>
    <xf numFmtId="165" fontId="3" fillId="0" borderId="0" xfId="1" applyNumberFormat="1" applyFont="1" applyFill="1"/>
    <xf numFmtId="165" fontId="4" fillId="0" borderId="0" xfId="1" applyNumberFormat="1" applyFont="1" applyFill="1"/>
    <xf numFmtId="167" fontId="3" fillId="0" borderId="0" xfId="2" applyNumberFormat="1" applyFont="1"/>
    <xf numFmtId="168" fontId="3" fillId="0" borderId="0" xfId="0" applyNumberFormat="1" applyFont="1"/>
    <xf numFmtId="0" fontId="0" fillId="0" borderId="0" xfId="0"/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43" fontId="3" fillId="0" borderId="0" xfId="0" applyNumberFormat="1" applyFont="1"/>
    <xf numFmtId="43" fontId="3" fillId="0" borderId="1" xfId="0" applyNumberFormat="1" applyFont="1" applyBorder="1" applyAlignment="1">
      <alignment horizontal="left"/>
    </xf>
    <xf numFmtId="43" fontId="8" fillId="0" borderId="0" xfId="0" applyNumberFormat="1" applyFont="1"/>
    <xf numFmtId="0" fontId="3" fillId="0" borderId="0" xfId="0" applyFont="1" applyAlignment="1">
      <alignment vertical="center"/>
    </xf>
    <xf numFmtId="0" fontId="9" fillId="0" borderId="0" xfId="0" applyFont="1"/>
    <xf numFmtId="165" fontId="9" fillId="0" borderId="0" xfId="1" applyNumberFormat="1" applyFont="1"/>
    <xf numFmtId="0" fontId="10" fillId="0" borderId="0" xfId="0" applyFont="1"/>
    <xf numFmtId="0" fontId="9" fillId="0" borderId="0" xfId="0" quotePrefix="1" applyFont="1"/>
    <xf numFmtId="165" fontId="10" fillId="0" borderId="2" xfId="1" applyNumberFormat="1" applyFont="1" applyBorder="1"/>
    <xf numFmtId="0" fontId="9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169" fontId="3" fillId="0" borderId="0" xfId="0" applyNumberFormat="1" applyFont="1"/>
    <xf numFmtId="169" fontId="15" fillId="0" borderId="0" xfId="0" applyNumberFormat="1" applyFont="1"/>
    <xf numFmtId="164" fontId="3" fillId="0" borderId="0" xfId="0" applyNumberFormat="1" applyFont="1" applyAlignment="1">
      <alignment horizontal="right"/>
    </xf>
    <xf numFmtId="4" fontId="16" fillId="0" borderId="0" xfId="0" applyNumberFormat="1" applyFont="1"/>
    <xf numFmtId="169" fontId="3" fillId="0" borderId="2" xfId="0" applyNumberFormat="1" applyFont="1" applyBorder="1"/>
    <xf numFmtId="9" fontId="3" fillId="0" borderId="0" xfId="0" applyNumberFormat="1" applyFont="1"/>
    <xf numFmtId="169" fontId="4" fillId="0" borderId="0" xfId="0" applyNumberFormat="1" applyFont="1"/>
    <xf numFmtId="9" fontId="4" fillId="0" borderId="0" xfId="0" applyNumberFormat="1" applyFont="1" applyAlignment="1">
      <alignment horizontal="left"/>
    </xf>
    <xf numFmtId="9" fontId="3" fillId="0" borderId="0" xfId="0" applyNumberFormat="1" applyFont="1" applyAlignment="1">
      <alignment horizontal="left"/>
    </xf>
    <xf numFmtId="169" fontId="16" fillId="0" borderId="0" xfId="0" applyNumberFormat="1" applyFont="1"/>
    <xf numFmtId="169" fontId="4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0" borderId="0" xfId="0" quotePrefix="1" applyFont="1"/>
    <xf numFmtId="170" fontId="3" fillId="0" borderId="0" xfId="1" applyNumberFormat="1" applyFont="1"/>
    <xf numFmtId="165" fontId="3" fillId="0" borderId="0" xfId="0" applyNumberFormat="1" applyFont="1"/>
    <xf numFmtId="165" fontId="4" fillId="0" borderId="0" xfId="0" applyNumberFormat="1" applyFont="1"/>
    <xf numFmtId="0" fontId="3" fillId="4" borderId="0" xfId="0" applyFont="1" applyFill="1"/>
    <xf numFmtId="0" fontId="4" fillId="0" borderId="3" xfId="0" applyFont="1" applyBorder="1"/>
    <xf numFmtId="0" fontId="4" fillId="4" borderId="3" xfId="0" applyFont="1" applyFill="1" applyBorder="1"/>
    <xf numFmtId="0" fontId="3" fillId="0" borderId="4" xfId="0" applyFont="1" applyBorder="1"/>
    <xf numFmtId="0" fontId="3" fillId="4" borderId="4" xfId="0" applyFont="1" applyFill="1" applyBorder="1"/>
    <xf numFmtId="165" fontId="3" fillId="0" borderId="4" xfId="1" applyNumberFormat="1" applyFont="1" applyBorder="1"/>
    <xf numFmtId="165" fontId="3" fillId="4" borderId="4" xfId="1" applyNumberFormat="1" applyFont="1" applyFill="1" applyBorder="1"/>
    <xf numFmtId="165" fontId="4" fillId="0" borderId="2" xfId="0" applyNumberFormat="1" applyFont="1" applyBorder="1"/>
    <xf numFmtId="0" fontId="3" fillId="0" borderId="5" xfId="0" applyFont="1" applyBorder="1"/>
    <xf numFmtId="165" fontId="4" fillId="0" borderId="6" xfId="0" applyNumberFormat="1" applyFont="1" applyBorder="1"/>
    <xf numFmtId="0" fontId="17" fillId="0" borderId="0" xfId="0" applyFont="1"/>
    <xf numFmtId="43" fontId="7" fillId="0" borderId="0" xfId="0" applyNumberFormat="1" applyFont="1"/>
    <xf numFmtId="165" fontId="7" fillId="0" borderId="0" xfId="1" applyNumberFormat="1" applyFont="1"/>
    <xf numFmtId="165" fontId="7" fillId="0" borderId="0" xfId="0" applyNumberFormat="1" applyFont="1"/>
    <xf numFmtId="0" fontId="7" fillId="0" borderId="0" xfId="0" quotePrefix="1" applyFont="1"/>
    <xf numFmtId="43" fontId="17" fillId="0" borderId="0" xfId="0" applyNumberFormat="1" applyFont="1"/>
    <xf numFmtId="165" fontId="17" fillId="0" borderId="0" xfId="1" applyNumberFormat="1" applyFont="1"/>
    <xf numFmtId="0" fontId="17" fillId="0" borderId="3" xfId="0" applyFont="1" applyBorder="1"/>
    <xf numFmtId="0" fontId="17" fillId="0" borderId="3" xfId="0" quotePrefix="1" applyFont="1" applyBorder="1"/>
    <xf numFmtId="0" fontId="7" fillId="0" borderId="3" xfId="0" applyFont="1" applyBorder="1"/>
    <xf numFmtId="165" fontId="7" fillId="0" borderId="3" xfId="1" applyNumberFormat="1" applyFont="1" applyBorder="1"/>
    <xf numFmtId="0" fontId="3" fillId="0" borderId="3" xfId="0" applyFont="1" applyBorder="1"/>
    <xf numFmtId="165" fontId="17" fillId="0" borderId="3" xfId="1" applyNumberFormat="1" applyFont="1" applyBorder="1"/>
    <xf numFmtId="0" fontId="7" fillId="0" borderId="0" xfId="0" applyFont="1" applyBorder="1"/>
    <xf numFmtId="43" fontId="7" fillId="0" borderId="3" xfId="0" applyNumberFormat="1" applyFont="1" applyBorder="1"/>
    <xf numFmtId="43" fontId="17" fillId="0" borderId="3" xfId="0" applyNumberFormat="1" applyFont="1" applyBorder="1"/>
    <xf numFmtId="0" fontId="17" fillId="0" borderId="2" xfId="0" applyFont="1" applyBorder="1"/>
    <xf numFmtId="165" fontId="17" fillId="0" borderId="2" xfId="1" applyNumberFormat="1" applyFont="1" applyBorder="1"/>
    <xf numFmtId="0" fontId="3" fillId="0" borderId="0" xfId="0" applyFont="1" applyFill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3" xfId="0" applyFont="1" applyFill="1" applyBorder="1"/>
    <xf numFmtId="0" fontId="4" fillId="0" borderId="0" xfId="0" applyFont="1" applyFill="1" applyBorder="1"/>
    <xf numFmtId="0" fontId="3" fillId="0" borderId="1" xfId="0" applyFont="1" applyBorder="1"/>
    <xf numFmtId="164" fontId="3" fillId="0" borderId="0" xfId="1" applyFont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164" fontId="4" fillId="0" borderId="0" xfId="1" applyFont="1"/>
    <xf numFmtId="43" fontId="4" fillId="0" borderId="0" xfId="0" applyNumberFormat="1" applyFont="1"/>
    <xf numFmtId="164" fontId="3" fillId="0" borderId="0" xfId="1" applyNumberFormat="1" applyFont="1"/>
    <xf numFmtId="43" fontId="3" fillId="0" borderId="3" xfId="0" applyNumberFormat="1" applyFont="1" applyBorder="1"/>
    <xf numFmtId="165" fontId="3" fillId="0" borderId="3" xfId="0" applyNumberFormat="1" applyFont="1" applyBorder="1"/>
    <xf numFmtId="43" fontId="4" fillId="0" borderId="3" xfId="0" applyNumberFormat="1" applyFont="1" applyBorder="1"/>
    <xf numFmtId="0" fontId="4" fillId="0" borderId="3" xfId="0" quotePrefix="1" applyFont="1" applyBorder="1"/>
    <xf numFmtId="0" fontId="4" fillId="0" borderId="2" xfId="0" applyFont="1" applyBorder="1"/>
    <xf numFmtId="0" fontId="4" fillId="4" borderId="2" xfId="0" applyFont="1" applyFill="1" applyBorder="1"/>
    <xf numFmtId="164" fontId="4" fillId="0" borderId="2" xfId="1" applyNumberFormat="1" applyFont="1" applyBorder="1"/>
    <xf numFmtId="0" fontId="4" fillId="0" borderId="2" xfId="0" applyFont="1" applyFill="1" applyBorder="1"/>
    <xf numFmtId="0" fontId="4" fillId="0" borderId="0" xfId="0" applyFont="1" applyFill="1"/>
    <xf numFmtId="164" fontId="4" fillId="0" borderId="2" xfId="1" applyFont="1" applyBorder="1"/>
    <xf numFmtId="43" fontId="18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24</xdr:row>
      <xdr:rowOff>161925</xdr:rowOff>
    </xdr:from>
    <xdr:to>
      <xdr:col>11</xdr:col>
      <xdr:colOff>19050</xdr:colOff>
      <xdr:row>46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823BE-E12B-41EB-9767-DCCAAC1AF7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0" t="27865" r="24451" b="15755"/>
        <a:stretch/>
      </xdr:blipFill>
      <xdr:spPr bwMode="auto">
        <a:xfrm>
          <a:off x="409575" y="4733925"/>
          <a:ext cx="6591300" cy="412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19051</xdr:colOff>
      <xdr:row>23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E81829-A5AD-4D8B-99B3-3B86716EA1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63" t="19400" r="21230" b="20443"/>
        <a:stretch/>
      </xdr:blipFill>
      <xdr:spPr bwMode="auto">
        <a:xfrm>
          <a:off x="0" y="0"/>
          <a:ext cx="7000876" cy="440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466725</xdr:colOff>
      <xdr:row>27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487272-D76B-40A4-981C-28AE373CD8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3" t="20053" r="20717" b="8984"/>
        <a:stretch/>
      </xdr:blipFill>
      <xdr:spPr bwMode="auto">
        <a:xfrm>
          <a:off x="0" y="0"/>
          <a:ext cx="7781925" cy="519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95249</xdr:rowOff>
    </xdr:from>
    <xdr:to>
      <xdr:col>12</xdr:col>
      <xdr:colOff>457200</xdr:colOff>
      <xdr:row>40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08BD27-C8AD-4F1D-A7FB-27ECC78F77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46" t="25651" r="20718" b="41797"/>
        <a:stretch/>
      </xdr:blipFill>
      <xdr:spPr bwMode="auto">
        <a:xfrm>
          <a:off x="0" y="5238749"/>
          <a:ext cx="7772400" cy="2381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11</xdr:col>
      <xdr:colOff>285750</xdr:colOff>
      <xdr:row>31</xdr:row>
      <xdr:rowOff>77820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213EAA-081B-4CFE-A33B-4849A7837D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58" t="22786" r="40995" b="14193"/>
        <a:stretch/>
      </xdr:blipFill>
      <xdr:spPr bwMode="auto">
        <a:xfrm>
          <a:off x="600075" y="0"/>
          <a:ext cx="6391275" cy="5983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31</xdr:row>
      <xdr:rowOff>47625</xdr:rowOff>
    </xdr:from>
    <xdr:to>
      <xdr:col>11</xdr:col>
      <xdr:colOff>419100</xdr:colOff>
      <xdr:row>54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5BD30C-12A7-4DB0-A1F9-7AA852929A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3" t="20442" r="25985" b="19013"/>
        <a:stretch/>
      </xdr:blipFill>
      <xdr:spPr bwMode="auto">
        <a:xfrm>
          <a:off x="352425" y="5953125"/>
          <a:ext cx="6772275" cy="442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558800</xdr:colOff>
      <xdr:row>28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A32FCE-2E62-7BC5-6D24-B8E3130E7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3" t="26543" r="26111" b="21729"/>
        <a:stretch/>
      </xdr:blipFill>
      <xdr:spPr bwMode="auto">
        <a:xfrm>
          <a:off x="0" y="0"/>
          <a:ext cx="9702800" cy="532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120650</xdr:rowOff>
    </xdr:from>
    <xdr:to>
      <xdr:col>15</xdr:col>
      <xdr:colOff>596900</xdr:colOff>
      <xdr:row>68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C8472A-DDB4-444E-6387-439AE8172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4" t="20125" r="22813" b="7777"/>
        <a:stretch/>
      </xdr:blipFill>
      <xdr:spPr bwMode="auto">
        <a:xfrm>
          <a:off x="0" y="5276850"/>
          <a:ext cx="9740900" cy="74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1A3B-C4D3-4BA4-B0FD-FBA9640589AA}">
  <dimension ref="A1:Y74"/>
  <sheetViews>
    <sheetView topLeftCell="F46" workbookViewId="0">
      <selection activeCell="W39" sqref="W39:X40"/>
    </sheetView>
  </sheetViews>
  <sheetFormatPr defaultColWidth="9.1796875" defaultRowHeight="15.5" x14ac:dyDescent="0.35"/>
  <cols>
    <col min="1" max="1" width="36.54296875" style="15" customWidth="1"/>
    <col min="2" max="2" width="12.7265625" style="15" bestFit="1" customWidth="1"/>
    <col min="3" max="5" width="9.1796875" style="15"/>
    <col min="6" max="6" width="13.36328125" style="15" customWidth="1"/>
    <col min="7" max="7" width="1.08984375" style="53" customWidth="1"/>
    <col min="8" max="8" width="35.1796875" style="15" bestFit="1" customWidth="1"/>
    <col min="9" max="9" width="0.54296875" style="53" customWidth="1"/>
    <col min="10" max="10" width="16.08984375" style="15" hidden="1" customWidth="1"/>
    <col min="11" max="11" width="9.36328125" style="15" hidden="1" customWidth="1"/>
    <col min="12" max="12" width="0.54296875" style="53" hidden="1" customWidth="1"/>
    <col min="13" max="13" width="13.08984375" style="15" hidden="1" customWidth="1"/>
    <col min="14" max="14" width="9.36328125" style="15" hidden="1" customWidth="1"/>
    <col min="15" max="15" width="0.7265625" style="53" customWidth="1"/>
    <col min="16" max="16" width="11" style="15" customWidth="1"/>
    <col min="17" max="17" width="9.1796875" style="15"/>
    <col min="18" max="18" width="1.54296875" style="53" customWidth="1"/>
    <col min="19" max="22" width="9.1796875" style="15"/>
    <col min="23" max="23" width="39.81640625" style="15" bestFit="1" customWidth="1"/>
    <col min="24" max="24" width="9.1796875" style="15"/>
    <col min="25" max="25" width="9.36328125" style="15" bestFit="1" customWidth="1"/>
    <col min="26" max="16384" width="9.1796875" style="15"/>
  </cols>
  <sheetData>
    <row r="1" spans="1:25" s="16" customFormat="1" ht="15" x14ac:dyDescent="0.3">
      <c r="A1" s="16" t="s">
        <v>96</v>
      </c>
      <c r="G1" s="54"/>
      <c r="I1" s="54"/>
      <c r="J1" s="16" t="s">
        <v>381</v>
      </c>
      <c r="L1" s="54"/>
      <c r="M1" s="16" t="s">
        <v>382</v>
      </c>
      <c r="O1" s="54"/>
      <c r="P1" s="16" t="s">
        <v>380</v>
      </c>
      <c r="R1" s="54"/>
    </row>
    <row r="2" spans="1:25" s="16" customFormat="1" ht="15" x14ac:dyDescent="0.3">
      <c r="A2" s="16" t="s">
        <v>245</v>
      </c>
      <c r="G2" s="54"/>
      <c r="H2" s="16" t="s">
        <v>262</v>
      </c>
      <c r="I2" s="54"/>
      <c r="J2" s="16" t="s">
        <v>119</v>
      </c>
      <c r="K2" s="16" t="s">
        <v>120</v>
      </c>
      <c r="L2" s="54"/>
      <c r="M2" s="16" t="s">
        <v>119</v>
      </c>
      <c r="N2" s="16" t="s">
        <v>120</v>
      </c>
      <c r="O2" s="54"/>
      <c r="P2" s="16" t="s">
        <v>119</v>
      </c>
      <c r="Q2" s="16" t="s">
        <v>120</v>
      </c>
      <c r="R2" s="54"/>
      <c r="W2" s="16" t="s">
        <v>404</v>
      </c>
    </row>
    <row r="3" spans="1:25" s="16" customFormat="1" ht="15" x14ac:dyDescent="0.3">
      <c r="G3" s="54"/>
      <c r="I3" s="54"/>
      <c r="J3" s="55" t="s">
        <v>385</v>
      </c>
      <c r="K3" s="55" t="s">
        <v>385</v>
      </c>
      <c r="L3" s="54"/>
      <c r="M3" s="55" t="s">
        <v>385</v>
      </c>
      <c r="N3" s="55" t="s">
        <v>385</v>
      </c>
      <c r="O3" s="54"/>
      <c r="P3" s="55" t="s">
        <v>385</v>
      </c>
      <c r="Q3" s="55" t="s">
        <v>385</v>
      </c>
      <c r="R3" s="54"/>
    </row>
    <row r="4" spans="1:25" x14ac:dyDescent="0.35">
      <c r="A4" s="15" t="s">
        <v>306</v>
      </c>
      <c r="H4" s="15" t="s">
        <v>386</v>
      </c>
      <c r="J4" s="1"/>
      <c r="K4" s="1">
        <f>6000+12000</f>
        <v>18000</v>
      </c>
      <c r="L4" s="54"/>
      <c r="M4" s="56"/>
      <c r="N4" s="56"/>
      <c r="P4" s="57"/>
      <c r="Q4" s="57">
        <f>K4+N4-J4-M4</f>
        <v>18000</v>
      </c>
      <c r="W4" s="15" t="s">
        <v>2</v>
      </c>
      <c r="Y4" s="57">
        <f>Q15</f>
        <v>131500</v>
      </c>
    </row>
    <row r="5" spans="1:25" x14ac:dyDescent="0.35">
      <c r="A5" s="16" t="s">
        <v>307</v>
      </c>
      <c r="H5" s="15" t="s">
        <v>140</v>
      </c>
      <c r="J5" s="56">
        <f>4000+12000</f>
        <v>16000</v>
      </c>
      <c r="K5" s="56">
        <f>6000</f>
        <v>6000</v>
      </c>
      <c r="L5" s="54"/>
      <c r="M5" s="56">
        <f>2800+116900</f>
        <v>119700</v>
      </c>
      <c r="N5" s="56">
        <f>37250+74200</f>
        <v>111450</v>
      </c>
      <c r="P5" s="57">
        <f t="shared" ref="P5:P13" si="0">J5+M5-K5-N5</f>
        <v>18250</v>
      </c>
      <c r="Q5" s="57"/>
      <c r="W5" s="15" t="s">
        <v>405</v>
      </c>
    </row>
    <row r="6" spans="1:25" x14ac:dyDescent="0.35">
      <c r="A6" s="15" t="s">
        <v>308</v>
      </c>
      <c r="H6" s="15" t="s">
        <v>387</v>
      </c>
      <c r="J6" s="56">
        <v>6000</v>
      </c>
      <c r="K6" s="56"/>
      <c r="L6" s="54"/>
      <c r="M6" s="56"/>
      <c r="N6" s="56"/>
      <c r="P6" s="57">
        <f t="shared" si="0"/>
        <v>6000</v>
      </c>
      <c r="Q6" s="57"/>
      <c r="W6" s="15" t="s">
        <v>406</v>
      </c>
      <c r="X6" s="15">
        <v>0</v>
      </c>
    </row>
    <row r="7" spans="1:25" x14ac:dyDescent="0.35">
      <c r="A7" s="15" t="s">
        <v>309</v>
      </c>
      <c r="H7" s="15" t="s">
        <v>388</v>
      </c>
      <c r="L7" s="54"/>
      <c r="M7" s="56">
        <f>SLN(6000,0,4)</f>
        <v>1500</v>
      </c>
      <c r="N7" s="56"/>
      <c r="P7" s="57">
        <f t="shared" si="0"/>
        <v>1500</v>
      </c>
      <c r="Q7" s="57"/>
      <c r="W7" s="15" t="s">
        <v>407</v>
      </c>
      <c r="X7" s="57">
        <f>P12</f>
        <v>85000</v>
      </c>
    </row>
    <row r="8" spans="1:25" x14ac:dyDescent="0.35">
      <c r="A8" s="15" t="s">
        <v>311</v>
      </c>
      <c r="H8" s="15" t="s">
        <v>389</v>
      </c>
      <c r="L8" s="54"/>
      <c r="M8" s="56"/>
      <c r="N8" s="56">
        <v>1500</v>
      </c>
      <c r="P8" s="57"/>
      <c r="Q8" s="57">
        <f t="shared" ref="Q8:Q13" si="1">K8+N8-J8-M8</f>
        <v>1500</v>
      </c>
      <c r="W8" s="15" t="s">
        <v>408</v>
      </c>
      <c r="X8" s="57">
        <f>P32</f>
        <v>2500</v>
      </c>
    </row>
    <row r="9" spans="1:25" x14ac:dyDescent="0.35">
      <c r="A9" s="15" t="s">
        <v>310</v>
      </c>
      <c r="H9" s="15" t="s">
        <v>390</v>
      </c>
      <c r="J9" s="56"/>
      <c r="K9" s="56">
        <v>4000</v>
      </c>
      <c r="L9" s="54"/>
      <c r="M9" s="56"/>
      <c r="N9" s="56"/>
      <c r="P9" s="57"/>
      <c r="Q9" s="57">
        <f t="shared" si="1"/>
        <v>4000</v>
      </c>
      <c r="W9" s="15" t="s">
        <v>409</v>
      </c>
      <c r="X9" s="57">
        <f>-Q22</f>
        <v>-7200</v>
      </c>
      <c r="Y9" s="15">
        <f>SUM(X6:X9)</f>
        <v>80300</v>
      </c>
    </row>
    <row r="10" spans="1:25" x14ac:dyDescent="0.35">
      <c r="A10" s="15" t="s">
        <v>312</v>
      </c>
      <c r="H10" s="15" t="s">
        <v>246</v>
      </c>
      <c r="M10" s="56">
        <f>4000*15%*0.5</f>
        <v>300</v>
      </c>
      <c r="N10" s="56"/>
      <c r="P10" s="57">
        <f t="shared" si="0"/>
        <v>300</v>
      </c>
      <c r="Q10" s="57"/>
      <c r="W10" s="16" t="s">
        <v>410</v>
      </c>
      <c r="X10" s="16"/>
      <c r="Y10" s="58">
        <f>Y4-Y9</f>
        <v>51200</v>
      </c>
    </row>
    <row r="11" spans="1:25" x14ac:dyDescent="0.35">
      <c r="A11" s="15" t="s">
        <v>313</v>
      </c>
      <c r="H11" s="15" t="s">
        <v>250</v>
      </c>
      <c r="M11" s="56"/>
      <c r="N11" s="56">
        <v>300</v>
      </c>
      <c r="P11" s="57"/>
      <c r="Q11" s="57">
        <f t="shared" si="1"/>
        <v>300</v>
      </c>
      <c r="W11" s="15" t="s">
        <v>411</v>
      </c>
    </row>
    <row r="12" spans="1:25" x14ac:dyDescent="0.35">
      <c r="A12" s="15" t="s">
        <v>98</v>
      </c>
      <c r="H12" s="15" t="s">
        <v>122</v>
      </c>
      <c r="J12" s="56">
        <f>79000+6000</f>
        <v>85000</v>
      </c>
      <c r="K12" s="56"/>
      <c r="M12" s="56"/>
      <c r="N12" s="56"/>
      <c r="P12" s="57">
        <f t="shared" si="0"/>
        <v>85000</v>
      </c>
      <c r="Q12" s="57"/>
      <c r="W12" s="15" t="s">
        <v>412</v>
      </c>
      <c r="Y12" s="57">
        <f>Q20</f>
        <v>1800</v>
      </c>
    </row>
    <row r="13" spans="1:25" x14ac:dyDescent="0.35">
      <c r="A13" s="15" t="s">
        <v>97</v>
      </c>
      <c r="H13" s="15" t="s">
        <v>391</v>
      </c>
      <c r="I13" s="15"/>
      <c r="J13" s="15">
        <v>6500</v>
      </c>
      <c r="L13" s="15"/>
      <c r="N13" s="15">
        <v>6500</v>
      </c>
      <c r="O13" s="15"/>
      <c r="P13" s="57">
        <f t="shared" si="0"/>
        <v>0</v>
      </c>
      <c r="Q13" s="57">
        <f t="shared" si="1"/>
        <v>0</v>
      </c>
      <c r="W13" s="16" t="s">
        <v>413</v>
      </c>
      <c r="X13" s="16"/>
      <c r="Y13" s="58">
        <f>SUM(Y10:Y12)</f>
        <v>53000</v>
      </c>
    </row>
    <row r="14" spans="1:25" x14ac:dyDescent="0.35">
      <c r="A14" s="15" t="s">
        <v>314</v>
      </c>
      <c r="H14" s="15" t="s">
        <v>357</v>
      </c>
      <c r="J14" s="56"/>
      <c r="K14" s="56">
        <v>79000</v>
      </c>
      <c r="M14" s="56">
        <f>1800+74200</f>
        <v>76000</v>
      </c>
      <c r="N14" s="56"/>
      <c r="P14" s="57"/>
      <c r="Q14" s="57">
        <f>K14+N14-J14-M14</f>
        <v>3000</v>
      </c>
    </row>
    <row r="15" spans="1:25" x14ac:dyDescent="0.35">
      <c r="A15" s="15" t="s">
        <v>315</v>
      </c>
      <c r="H15" s="15" t="s">
        <v>268</v>
      </c>
      <c r="J15" s="56"/>
      <c r="K15" s="56">
        <f>125000+6500</f>
        <v>131500</v>
      </c>
      <c r="M15" s="56"/>
      <c r="N15" s="56"/>
      <c r="P15" s="57"/>
      <c r="Q15" s="57">
        <f t="shared" ref="Q15:Q35" si="2">K15+N15-J15-M15</f>
        <v>131500</v>
      </c>
      <c r="W15" s="16" t="s">
        <v>414</v>
      </c>
    </row>
    <row r="16" spans="1:25" x14ac:dyDescent="0.35">
      <c r="A16" s="15" t="s">
        <v>316</v>
      </c>
      <c r="H16" s="15" t="s">
        <v>392</v>
      </c>
      <c r="J16" s="56">
        <v>125000</v>
      </c>
      <c r="K16" s="56"/>
      <c r="M16" s="56"/>
      <c r="N16" s="56">
        <f>1100+1500+116900</f>
        <v>119500</v>
      </c>
      <c r="P16" s="57">
        <f t="shared" ref="P16:P36" si="3">J16+M16-K16-N16</f>
        <v>5500</v>
      </c>
      <c r="Q16" s="57"/>
      <c r="W16" s="15" t="s">
        <v>393</v>
      </c>
      <c r="X16" s="57">
        <f>P17</f>
        <v>1500</v>
      </c>
    </row>
    <row r="17" spans="1:25" x14ac:dyDescent="0.35">
      <c r="A17" s="15" t="s">
        <v>317</v>
      </c>
      <c r="H17" s="15" t="s">
        <v>393</v>
      </c>
      <c r="J17" s="56"/>
      <c r="K17" s="56"/>
      <c r="M17" s="56">
        <v>1500</v>
      </c>
      <c r="N17" s="56"/>
      <c r="P17" s="57">
        <f t="shared" si="3"/>
        <v>1500</v>
      </c>
      <c r="Q17" s="57"/>
      <c r="W17" s="15" t="s">
        <v>395</v>
      </c>
      <c r="X17" s="57">
        <f>P19</f>
        <v>1200</v>
      </c>
    </row>
    <row r="18" spans="1:25" x14ac:dyDescent="0.35">
      <c r="A18" s="15" t="s">
        <v>318</v>
      </c>
      <c r="H18" s="15" t="s">
        <v>394</v>
      </c>
      <c r="J18" s="56"/>
      <c r="K18" s="56"/>
      <c r="M18" s="56">
        <v>2500</v>
      </c>
      <c r="N18" s="56"/>
      <c r="P18" s="57">
        <f t="shared" si="3"/>
        <v>2500</v>
      </c>
      <c r="Q18" s="57"/>
      <c r="W18" s="15" t="s">
        <v>397</v>
      </c>
      <c r="X18" s="57">
        <f>P21</f>
        <v>1100</v>
      </c>
    </row>
    <row r="19" spans="1:25" x14ac:dyDescent="0.35">
      <c r="A19" s="15" t="s">
        <v>319</v>
      </c>
      <c r="H19" s="15" t="s">
        <v>395</v>
      </c>
      <c r="J19" s="56"/>
      <c r="K19" s="56"/>
      <c r="M19" s="56">
        <v>1200</v>
      </c>
      <c r="N19" s="56"/>
      <c r="P19" s="57">
        <f t="shared" si="3"/>
        <v>1200</v>
      </c>
      <c r="Q19" s="57"/>
      <c r="W19" s="15" t="s">
        <v>103</v>
      </c>
      <c r="X19" s="57">
        <f>P24</f>
        <v>3600</v>
      </c>
    </row>
    <row r="20" spans="1:25" x14ac:dyDescent="0.35">
      <c r="A20" s="15" t="s">
        <v>99</v>
      </c>
      <c r="H20" s="15" t="s">
        <v>396</v>
      </c>
      <c r="J20" s="56"/>
      <c r="K20" s="56"/>
      <c r="M20" s="56"/>
      <c r="N20" s="56">
        <v>1800</v>
      </c>
      <c r="P20" s="57"/>
      <c r="Q20" s="57">
        <f t="shared" si="2"/>
        <v>1800</v>
      </c>
      <c r="W20" s="15" t="s">
        <v>105</v>
      </c>
      <c r="X20" s="57">
        <f>P26</f>
        <v>11000</v>
      </c>
    </row>
    <row r="21" spans="1:25" x14ac:dyDescent="0.35">
      <c r="A21" s="15" t="s">
        <v>100</v>
      </c>
      <c r="H21" s="15" t="s">
        <v>397</v>
      </c>
      <c r="J21" s="56"/>
      <c r="K21" s="56"/>
      <c r="M21" s="56">
        <v>1100</v>
      </c>
      <c r="N21" s="56"/>
      <c r="P21" s="57">
        <f t="shared" si="3"/>
        <v>1100</v>
      </c>
      <c r="Q21" s="57"/>
      <c r="W21" s="15" t="s">
        <v>106</v>
      </c>
      <c r="X21" s="57">
        <f t="shared" ref="X21:X24" si="4">P27</f>
        <v>4200</v>
      </c>
    </row>
    <row r="22" spans="1:25" x14ac:dyDescent="0.35">
      <c r="A22" s="15" t="s">
        <v>101</v>
      </c>
      <c r="H22" s="15" t="s">
        <v>398</v>
      </c>
      <c r="J22" s="56"/>
      <c r="K22" s="56"/>
      <c r="M22" s="56"/>
      <c r="N22" s="56">
        <v>7200</v>
      </c>
      <c r="P22" s="57"/>
      <c r="Q22" s="57">
        <f t="shared" si="2"/>
        <v>7200</v>
      </c>
      <c r="W22" s="15" t="s">
        <v>107</v>
      </c>
      <c r="X22" s="57">
        <f t="shared" si="4"/>
        <v>1600</v>
      </c>
    </row>
    <row r="23" spans="1:25" x14ac:dyDescent="0.35">
      <c r="H23" s="15" t="s">
        <v>399</v>
      </c>
      <c r="J23" s="56"/>
      <c r="K23" s="56"/>
      <c r="M23" s="56">
        <v>7200</v>
      </c>
      <c r="N23" s="56"/>
      <c r="P23" s="57">
        <f t="shared" si="3"/>
        <v>7200</v>
      </c>
      <c r="Q23" s="57"/>
      <c r="W23" s="15" t="s">
        <v>108</v>
      </c>
      <c r="X23" s="57">
        <f t="shared" si="4"/>
        <v>2100</v>
      </c>
    </row>
    <row r="24" spans="1:25" x14ac:dyDescent="0.35">
      <c r="A24" s="16" t="s">
        <v>102</v>
      </c>
      <c r="B24" s="16" t="s">
        <v>249</v>
      </c>
      <c r="H24" s="15" t="s">
        <v>103</v>
      </c>
      <c r="J24" s="56"/>
      <c r="K24" s="56"/>
      <c r="M24" s="56">
        <v>3600</v>
      </c>
      <c r="N24" s="56"/>
      <c r="P24" s="57">
        <f t="shared" si="3"/>
        <v>3600</v>
      </c>
      <c r="Q24" s="57"/>
      <c r="W24" s="15" t="s">
        <v>109</v>
      </c>
      <c r="X24" s="57">
        <f t="shared" si="4"/>
        <v>850</v>
      </c>
    </row>
    <row r="25" spans="1:25" x14ac:dyDescent="0.35">
      <c r="A25" s="15" t="s">
        <v>103</v>
      </c>
      <c r="B25" s="1">
        <v>3600000</v>
      </c>
      <c r="H25" s="15" t="s">
        <v>104</v>
      </c>
      <c r="J25" s="56"/>
      <c r="K25" s="56"/>
      <c r="M25" s="56">
        <v>8000</v>
      </c>
      <c r="N25" s="56"/>
      <c r="P25" s="57">
        <f t="shared" si="3"/>
        <v>8000</v>
      </c>
      <c r="Q25" s="57"/>
      <c r="W25" s="15" t="s">
        <v>110</v>
      </c>
      <c r="X25" s="57">
        <f>P31</f>
        <v>2650</v>
      </c>
      <c r="Y25" s="57">
        <f>SUM(X16:X25)</f>
        <v>29800</v>
      </c>
    </row>
    <row r="26" spans="1:25" x14ac:dyDescent="0.35">
      <c r="A26" s="15" t="s">
        <v>104</v>
      </c>
      <c r="B26" s="1">
        <v>8000000</v>
      </c>
      <c r="H26" s="15" t="s">
        <v>105</v>
      </c>
      <c r="J26" s="56"/>
      <c r="K26" s="56"/>
      <c r="M26" s="56">
        <v>11000</v>
      </c>
      <c r="N26" s="56"/>
      <c r="P26" s="57">
        <f t="shared" si="3"/>
        <v>11000</v>
      </c>
      <c r="Q26" s="57"/>
      <c r="W26" s="15" t="s">
        <v>415</v>
      </c>
      <c r="Y26" s="57">
        <f>Y13-Y25</f>
        <v>23200</v>
      </c>
    </row>
    <row r="27" spans="1:25" x14ac:dyDescent="0.35">
      <c r="A27" s="15" t="s">
        <v>105</v>
      </c>
      <c r="B27" s="1">
        <v>11000000</v>
      </c>
      <c r="H27" s="15" t="s">
        <v>106</v>
      </c>
      <c r="J27" s="56"/>
      <c r="K27" s="56"/>
      <c r="M27" s="56">
        <v>4200</v>
      </c>
      <c r="N27" s="56"/>
      <c r="P27" s="57">
        <f t="shared" si="3"/>
        <v>4200</v>
      </c>
      <c r="Q27" s="57"/>
      <c r="W27" s="15" t="s">
        <v>388</v>
      </c>
      <c r="X27" s="57">
        <f>P7</f>
        <v>1500</v>
      </c>
    </row>
    <row r="28" spans="1:25" x14ac:dyDescent="0.35">
      <c r="A28" s="15" t="s">
        <v>106</v>
      </c>
      <c r="B28" s="1">
        <v>4200000</v>
      </c>
      <c r="H28" s="15" t="s">
        <v>107</v>
      </c>
      <c r="J28" s="56"/>
      <c r="K28" s="56"/>
      <c r="M28" s="56">
        <v>2800</v>
      </c>
      <c r="N28" s="56">
        <v>1200</v>
      </c>
      <c r="P28" s="57">
        <f t="shared" si="3"/>
        <v>1600</v>
      </c>
      <c r="Q28" s="57"/>
      <c r="W28" s="15" t="s">
        <v>400</v>
      </c>
      <c r="X28" s="57">
        <f>P33</f>
        <v>1200</v>
      </c>
      <c r="Y28" s="57">
        <f>SUM(X27:X28)</f>
        <v>2700</v>
      </c>
    </row>
    <row r="29" spans="1:25" x14ac:dyDescent="0.35">
      <c r="A29" s="15" t="s">
        <v>107</v>
      </c>
      <c r="B29" s="1">
        <v>2800000</v>
      </c>
      <c r="H29" s="15" t="s">
        <v>108</v>
      </c>
      <c r="J29" s="56"/>
      <c r="K29" s="56"/>
      <c r="M29" s="56">
        <v>2100</v>
      </c>
      <c r="N29" s="56"/>
      <c r="P29" s="57">
        <f t="shared" si="3"/>
        <v>2100</v>
      </c>
      <c r="Q29" s="57"/>
      <c r="W29" s="15" t="s">
        <v>416</v>
      </c>
      <c r="Y29" s="57">
        <f>Y26-Y28</f>
        <v>20500</v>
      </c>
    </row>
    <row r="30" spans="1:25" x14ac:dyDescent="0.35">
      <c r="A30" s="15" t="s">
        <v>108</v>
      </c>
      <c r="B30" s="1">
        <v>2100000</v>
      </c>
      <c r="H30" s="15" t="s">
        <v>109</v>
      </c>
      <c r="J30" s="56"/>
      <c r="K30" s="56"/>
      <c r="M30" s="56">
        <v>850</v>
      </c>
      <c r="N30" s="56"/>
      <c r="P30" s="57">
        <f t="shared" si="3"/>
        <v>850</v>
      </c>
      <c r="Q30" s="57"/>
      <c r="W30" s="15" t="s">
        <v>246</v>
      </c>
      <c r="Y30" s="57">
        <f>P10</f>
        <v>300</v>
      </c>
    </row>
    <row r="31" spans="1:25" x14ac:dyDescent="0.35">
      <c r="A31" s="15" t="s">
        <v>109</v>
      </c>
      <c r="B31" s="1">
        <v>850000</v>
      </c>
      <c r="H31" s="15" t="s">
        <v>110</v>
      </c>
      <c r="J31" s="56"/>
      <c r="K31" s="56"/>
      <c r="M31" s="56">
        <f>450+2200</f>
        <v>2650</v>
      </c>
      <c r="N31" s="56"/>
      <c r="P31" s="57">
        <f t="shared" si="3"/>
        <v>2650</v>
      </c>
      <c r="Q31" s="57"/>
      <c r="W31" s="15" t="s">
        <v>417</v>
      </c>
      <c r="Y31" s="57">
        <f>Y29-Y30</f>
        <v>20200</v>
      </c>
    </row>
    <row r="32" spans="1:25" x14ac:dyDescent="0.35">
      <c r="A32" s="15" t="s">
        <v>110</v>
      </c>
      <c r="B32" s="1">
        <v>2200000</v>
      </c>
      <c r="H32" s="15" t="s">
        <v>111</v>
      </c>
      <c r="J32" s="56"/>
      <c r="K32" s="56"/>
      <c r="M32" s="56">
        <v>2500</v>
      </c>
      <c r="N32" s="56"/>
      <c r="P32" s="57">
        <f t="shared" si="3"/>
        <v>2500</v>
      </c>
      <c r="Q32" s="57"/>
      <c r="W32" s="15" t="s">
        <v>418</v>
      </c>
      <c r="Y32" s="15">
        <v>0</v>
      </c>
    </row>
    <row r="33" spans="1:25" x14ac:dyDescent="0.35">
      <c r="A33" s="15" t="s">
        <v>111</v>
      </c>
      <c r="B33" s="1">
        <v>2500000</v>
      </c>
      <c r="H33" s="15" t="s">
        <v>400</v>
      </c>
      <c r="J33" s="56"/>
      <c r="K33" s="56"/>
      <c r="M33" s="56">
        <f>SLN(8000,0,1/0.15)</f>
        <v>1200</v>
      </c>
      <c r="N33" s="56"/>
      <c r="P33" s="57">
        <f t="shared" si="3"/>
        <v>1200</v>
      </c>
      <c r="Q33" s="57"/>
      <c r="W33" s="15" t="s">
        <v>419</v>
      </c>
      <c r="Y33" s="57">
        <f>Y31-Y32</f>
        <v>20200</v>
      </c>
    </row>
    <row r="34" spans="1:25" x14ac:dyDescent="0.35">
      <c r="A34" s="15" t="s">
        <v>112</v>
      </c>
      <c r="H34" s="15" t="s">
        <v>401</v>
      </c>
      <c r="J34" s="56"/>
      <c r="K34" s="56"/>
      <c r="M34" s="56"/>
      <c r="N34" s="56">
        <v>1200</v>
      </c>
      <c r="P34" s="57"/>
      <c r="Q34" s="57">
        <f t="shared" si="2"/>
        <v>1200</v>
      </c>
      <c r="W34" s="15" t="s">
        <v>420</v>
      </c>
      <c r="Y34" s="15">
        <v>0</v>
      </c>
    </row>
    <row r="35" spans="1:25" x14ac:dyDescent="0.35">
      <c r="A35" s="15" t="s">
        <v>320</v>
      </c>
      <c r="H35" s="15" t="s">
        <v>402</v>
      </c>
      <c r="J35" s="56"/>
      <c r="K35" s="56"/>
      <c r="M35" s="56"/>
      <c r="N35" s="56">
        <v>450</v>
      </c>
      <c r="P35" s="57"/>
      <c r="Q35" s="57">
        <f t="shared" si="2"/>
        <v>450</v>
      </c>
      <c r="W35" s="15" t="s">
        <v>421</v>
      </c>
      <c r="Y35" s="57">
        <f>Y33+Y34</f>
        <v>20200</v>
      </c>
    </row>
    <row r="36" spans="1:25" x14ac:dyDescent="0.35">
      <c r="A36" s="15" t="s">
        <v>321</v>
      </c>
      <c r="H36" s="15" t="s">
        <v>403</v>
      </c>
      <c r="J36" s="56"/>
      <c r="K36" s="56"/>
      <c r="M36" s="56">
        <v>1200</v>
      </c>
      <c r="N36" s="56"/>
      <c r="P36" s="57">
        <f t="shared" si="3"/>
        <v>1200</v>
      </c>
      <c r="Q36" s="57"/>
    </row>
    <row r="37" spans="1:25" x14ac:dyDescent="0.35">
      <c r="A37" s="16" t="s">
        <v>27</v>
      </c>
      <c r="J37" s="56"/>
      <c r="K37" s="56"/>
      <c r="M37" s="56"/>
      <c r="N37" s="56"/>
      <c r="P37" s="57"/>
      <c r="Q37" s="57"/>
    </row>
    <row r="38" spans="1:25" x14ac:dyDescent="0.35">
      <c r="A38" s="16" t="s">
        <v>113</v>
      </c>
      <c r="J38" s="56"/>
      <c r="K38" s="56"/>
      <c r="M38" s="56"/>
      <c r="N38" s="56"/>
      <c r="P38" s="57"/>
      <c r="Q38" s="57"/>
    </row>
    <row r="39" spans="1:25" x14ac:dyDescent="0.35">
      <c r="A39" s="16" t="s">
        <v>114</v>
      </c>
      <c r="J39" s="56"/>
      <c r="K39" s="56"/>
      <c r="M39" s="56"/>
      <c r="N39" s="56"/>
      <c r="P39" s="57"/>
      <c r="Q39" s="57"/>
      <c r="W39" s="15" t="s">
        <v>422</v>
      </c>
    </row>
    <row r="40" spans="1:25" x14ac:dyDescent="0.35">
      <c r="J40" s="56"/>
      <c r="K40" s="56"/>
      <c r="M40" s="56"/>
      <c r="N40" s="56"/>
      <c r="P40" s="57"/>
      <c r="Q40" s="57"/>
      <c r="W40" s="15" t="s">
        <v>423</v>
      </c>
    </row>
    <row r="41" spans="1:25" x14ac:dyDescent="0.35">
      <c r="J41" s="56"/>
      <c r="K41" s="56"/>
      <c r="M41" s="56"/>
      <c r="N41" s="56"/>
      <c r="P41" s="57"/>
      <c r="Q41" s="57"/>
    </row>
    <row r="42" spans="1:25" x14ac:dyDescent="0.35">
      <c r="J42" s="56"/>
      <c r="K42" s="56"/>
      <c r="M42" s="56"/>
      <c r="N42" s="56"/>
      <c r="P42" s="57"/>
      <c r="Q42" s="57"/>
      <c r="W42" s="15" t="s">
        <v>424</v>
      </c>
      <c r="X42" s="55" t="s">
        <v>385</v>
      </c>
    </row>
    <row r="43" spans="1:25" x14ac:dyDescent="0.35">
      <c r="J43" s="56"/>
      <c r="K43" s="56"/>
      <c r="M43" s="56"/>
      <c r="N43" s="56"/>
      <c r="P43" s="57"/>
      <c r="Q43" s="57"/>
      <c r="W43" s="15" t="s">
        <v>425</v>
      </c>
      <c r="X43" s="57">
        <f>P6-Q8</f>
        <v>4500</v>
      </c>
    </row>
    <row r="44" spans="1:25" x14ac:dyDescent="0.35">
      <c r="J44" s="56"/>
      <c r="K44" s="56"/>
      <c r="M44" s="56"/>
      <c r="N44" s="56"/>
      <c r="P44" s="57"/>
      <c r="Q44" s="57"/>
      <c r="W44" s="15" t="s">
        <v>426</v>
      </c>
      <c r="X44" s="57">
        <f>P25-Q34</f>
        <v>6800</v>
      </c>
    </row>
    <row r="45" spans="1:25" x14ac:dyDescent="0.35">
      <c r="J45" s="56"/>
      <c r="K45" s="56"/>
      <c r="M45" s="56"/>
      <c r="N45" s="56"/>
      <c r="P45" s="57"/>
      <c r="Q45" s="57"/>
    </row>
    <row r="46" spans="1:25" x14ac:dyDescent="0.35">
      <c r="J46" s="56"/>
      <c r="K46" s="56"/>
      <c r="M46" s="56"/>
      <c r="N46" s="56"/>
      <c r="P46" s="57"/>
      <c r="Q46" s="57"/>
    </row>
    <row r="47" spans="1:25" x14ac:dyDescent="0.35">
      <c r="J47" s="56"/>
      <c r="K47" s="56"/>
      <c r="M47" s="56"/>
      <c r="N47" s="56"/>
      <c r="P47" s="57"/>
      <c r="Q47" s="57"/>
      <c r="W47" s="15" t="s">
        <v>427</v>
      </c>
    </row>
    <row r="48" spans="1:25" x14ac:dyDescent="0.35">
      <c r="J48" s="56"/>
      <c r="K48" s="56"/>
      <c r="M48" s="56"/>
      <c r="N48" s="56"/>
      <c r="P48" s="57"/>
      <c r="Q48" s="57"/>
      <c r="W48" s="15" t="s">
        <v>428</v>
      </c>
      <c r="X48" s="57">
        <f>P23</f>
        <v>7200</v>
      </c>
    </row>
    <row r="49" spans="8:24" x14ac:dyDescent="0.35">
      <c r="J49" s="56"/>
      <c r="K49" s="56"/>
      <c r="M49" s="56"/>
      <c r="N49" s="56"/>
      <c r="P49" s="57"/>
      <c r="Q49" s="57"/>
      <c r="W49" s="15" t="s">
        <v>140</v>
      </c>
      <c r="X49" s="57">
        <f>P5</f>
        <v>18250</v>
      </c>
    </row>
    <row r="50" spans="8:24" x14ac:dyDescent="0.35">
      <c r="J50" s="56"/>
      <c r="K50" s="56"/>
      <c r="M50" s="56"/>
      <c r="N50" s="56"/>
      <c r="P50" s="57"/>
      <c r="Q50" s="57"/>
      <c r="W50" s="15" t="s">
        <v>429</v>
      </c>
      <c r="X50" s="57">
        <f>P36</f>
        <v>1200</v>
      </c>
    </row>
    <row r="51" spans="8:24" x14ac:dyDescent="0.35">
      <c r="J51" s="56"/>
      <c r="K51" s="56"/>
      <c r="M51" s="56"/>
      <c r="N51" s="56"/>
      <c r="P51" s="57"/>
      <c r="Q51" s="57"/>
      <c r="W51" s="15" t="s">
        <v>51</v>
      </c>
      <c r="X51" s="57">
        <f>P16</f>
        <v>5500</v>
      </c>
    </row>
    <row r="52" spans="8:24" x14ac:dyDescent="0.35">
      <c r="J52" s="56"/>
      <c r="K52" s="56"/>
      <c r="M52" s="56"/>
      <c r="N52" s="56"/>
      <c r="P52" s="57"/>
      <c r="Q52" s="57"/>
    </row>
    <row r="53" spans="8:24" x14ac:dyDescent="0.35">
      <c r="J53" s="56"/>
      <c r="K53" s="56"/>
      <c r="M53" s="56"/>
      <c r="N53" s="56"/>
      <c r="P53" s="57"/>
      <c r="Q53" s="57"/>
      <c r="W53" s="15" t="s">
        <v>430</v>
      </c>
      <c r="X53" s="57">
        <f>SUM(X43:X52)</f>
        <v>43450</v>
      </c>
    </row>
    <row r="54" spans="8:24" x14ac:dyDescent="0.35">
      <c r="J54" s="56"/>
      <c r="K54" s="56"/>
      <c r="M54" s="56"/>
      <c r="N54" s="56"/>
      <c r="P54" s="57"/>
      <c r="Q54" s="57"/>
    </row>
    <row r="55" spans="8:24" x14ac:dyDescent="0.35">
      <c r="J55" s="56"/>
      <c r="K55" s="56"/>
      <c r="M55" s="56"/>
      <c r="N55" s="56"/>
      <c r="P55" s="57"/>
      <c r="Q55" s="57"/>
      <c r="W55" s="15" t="s">
        <v>431</v>
      </c>
    </row>
    <row r="56" spans="8:24" x14ac:dyDescent="0.35">
      <c r="J56" s="56"/>
      <c r="K56" s="56"/>
      <c r="M56" s="56"/>
      <c r="N56" s="56"/>
      <c r="P56" s="57"/>
      <c r="Q56" s="57"/>
      <c r="W56" s="15" t="s">
        <v>432</v>
      </c>
    </row>
    <row r="57" spans="8:24" x14ac:dyDescent="0.35">
      <c r="J57" s="56"/>
      <c r="K57" s="56"/>
      <c r="M57" s="56"/>
      <c r="N57" s="56"/>
      <c r="P57" s="57"/>
      <c r="Q57" s="57"/>
      <c r="W57" s="15" t="s">
        <v>386</v>
      </c>
      <c r="X57" s="57">
        <f>Q4</f>
        <v>18000</v>
      </c>
    </row>
    <row r="58" spans="8:24" x14ac:dyDescent="0.35">
      <c r="J58" s="56"/>
      <c r="K58" s="56"/>
      <c r="M58" s="56"/>
      <c r="N58" s="56"/>
      <c r="P58" s="57"/>
      <c r="Q58" s="57"/>
      <c r="W58" s="15" t="s">
        <v>394</v>
      </c>
      <c r="X58" s="15">
        <v>-2500</v>
      </c>
    </row>
    <row r="59" spans="8:24" x14ac:dyDescent="0.35">
      <c r="J59" s="56"/>
      <c r="K59" s="56"/>
      <c r="M59" s="56"/>
      <c r="N59" s="56"/>
      <c r="P59" s="57"/>
      <c r="Q59" s="57"/>
      <c r="W59" s="15" t="s">
        <v>433</v>
      </c>
    </row>
    <row r="60" spans="8:24" x14ac:dyDescent="0.35">
      <c r="H60" s="15" t="s">
        <v>383</v>
      </c>
      <c r="J60" s="56">
        <f>SUM(J4:J59)</f>
        <v>238500</v>
      </c>
      <c r="K60" s="56">
        <f>SUM(K4:K59)</f>
        <v>238500</v>
      </c>
      <c r="M60" s="56">
        <f>SUM(M4:M59)</f>
        <v>251100</v>
      </c>
      <c r="N60" s="56">
        <f>SUM(N4:N59)</f>
        <v>251100</v>
      </c>
      <c r="P60" s="56">
        <f>SUM(P4:P59)</f>
        <v>168950</v>
      </c>
      <c r="Q60" s="56">
        <f>SUM(Q4:Q59)</f>
        <v>168950</v>
      </c>
      <c r="W60" s="15" t="s">
        <v>434</v>
      </c>
      <c r="X60" s="57">
        <f>Y35</f>
        <v>20200</v>
      </c>
    </row>
    <row r="61" spans="8:24" x14ac:dyDescent="0.35">
      <c r="H61" s="15" t="s">
        <v>384</v>
      </c>
      <c r="J61" s="56">
        <f>J60-K60</f>
        <v>0</v>
      </c>
      <c r="K61" s="56"/>
      <c r="M61" s="56">
        <f>M60-N60</f>
        <v>0</v>
      </c>
      <c r="N61" s="56"/>
      <c r="P61" s="56">
        <f>P60-Q60</f>
        <v>0</v>
      </c>
      <c r="Q61" s="56"/>
    </row>
    <row r="62" spans="8:24" x14ac:dyDescent="0.35">
      <c r="W62" s="15" t="s">
        <v>435</v>
      </c>
      <c r="X62" s="57">
        <f>SUM(X57:X61)</f>
        <v>35700</v>
      </c>
    </row>
    <row r="64" spans="8:24" x14ac:dyDescent="0.35">
      <c r="W64" s="15" t="s">
        <v>436</v>
      </c>
    </row>
    <row r="65" spans="23:24" x14ac:dyDescent="0.35">
      <c r="W65" s="15" t="s">
        <v>437</v>
      </c>
      <c r="X65" s="57">
        <f>Q9</f>
        <v>4000</v>
      </c>
    </row>
    <row r="67" spans="23:24" x14ac:dyDescent="0.35">
      <c r="W67" s="15" t="s">
        <v>438</v>
      </c>
    </row>
    <row r="68" spans="23:24" x14ac:dyDescent="0.35">
      <c r="W68" s="15" t="s">
        <v>357</v>
      </c>
      <c r="X68" s="57">
        <f>Q14</f>
        <v>3000</v>
      </c>
    </row>
    <row r="69" spans="23:24" x14ac:dyDescent="0.35">
      <c r="W69" s="15" t="s">
        <v>250</v>
      </c>
      <c r="X69" s="57">
        <f>Q11</f>
        <v>300</v>
      </c>
    </row>
    <row r="70" spans="23:24" x14ac:dyDescent="0.35">
      <c r="W70" s="15" t="s">
        <v>442</v>
      </c>
      <c r="X70" s="57">
        <f>Q35</f>
        <v>450</v>
      </c>
    </row>
    <row r="71" spans="23:24" x14ac:dyDescent="0.35">
      <c r="W71" s="15" t="s">
        <v>439</v>
      </c>
      <c r="X71" s="57">
        <f>SUM(X65:X70)</f>
        <v>7750</v>
      </c>
    </row>
    <row r="72" spans="23:24" x14ac:dyDescent="0.35">
      <c r="W72" s="15" t="s">
        <v>440</v>
      </c>
      <c r="X72" s="57">
        <f>SUM(X71,X62)</f>
        <v>43450</v>
      </c>
    </row>
    <row r="74" spans="23:24" x14ac:dyDescent="0.35">
      <c r="W74" s="15" t="s">
        <v>441</v>
      </c>
      <c r="X74" s="15">
        <f>X72-X53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8B50E-FE6F-4EDA-8A17-AB1EABCF746D}">
  <dimension ref="A1:U75"/>
  <sheetViews>
    <sheetView zoomScaleNormal="100" workbookViewId="0">
      <selection activeCell="J3" sqref="J3:K8"/>
    </sheetView>
  </sheetViews>
  <sheetFormatPr defaultColWidth="9.1796875" defaultRowHeight="15.5" x14ac:dyDescent="0.35"/>
  <cols>
    <col min="1" max="1" width="116.54296875" style="15" customWidth="1"/>
    <col min="2" max="2" width="0" style="15" hidden="1" customWidth="1"/>
    <col min="3" max="3" width="24.36328125" style="15" customWidth="1"/>
    <col min="4" max="4" width="1" style="15" customWidth="1"/>
    <col min="5" max="5" width="43" style="15" customWidth="1"/>
    <col min="6" max="6" width="0.90625" style="15" customWidth="1"/>
    <col min="7" max="7" width="15.36328125" style="15" customWidth="1"/>
    <col min="8" max="8" width="13.6328125" style="15" customWidth="1"/>
    <col min="9" max="9" width="1.6328125" style="15" customWidth="1"/>
    <col min="10" max="11" width="11" style="15" customWidth="1"/>
    <col min="12" max="12" width="1.26953125" style="15" customWidth="1"/>
    <col min="13" max="13" width="13.36328125" style="15" customWidth="1"/>
    <col min="14" max="14" width="14.54296875" style="15" customWidth="1"/>
    <col min="15" max="15" width="1.7265625" style="15" customWidth="1"/>
    <col min="16" max="18" width="9.1796875" style="15"/>
    <col min="19" max="19" width="39.81640625" style="15" bestFit="1" customWidth="1"/>
    <col min="20" max="20" width="13.81640625" style="15" bestFit="1" customWidth="1"/>
    <col min="21" max="21" width="12.08984375" style="15" bestFit="1" customWidth="1"/>
    <col min="22" max="16384" width="9.1796875" style="15"/>
  </cols>
  <sheetData>
    <row r="1" spans="1:21" x14ac:dyDescent="0.35">
      <c r="A1" s="14" t="s">
        <v>208</v>
      </c>
      <c r="E1" s="60"/>
      <c r="F1" s="60"/>
      <c r="G1" s="60" t="s">
        <v>443</v>
      </c>
      <c r="H1" s="60"/>
      <c r="I1" s="60"/>
      <c r="J1" s="60" t="s">
        <v>444</v>
      </c>
      <c r="K1" s="60"/>
      <c r="L1" s="60"/>
      <c r="M1" s="60" t="s">
        <v>445</v>
      </c>
      <c r="N1" s="60"/>
      <c r="O1" s="61"/>
    </row>
    <row r="2" spans="1:21" x14ac:dyDescent="0.35">
      <c r="D2" s="59"/>
      <c r="E2" s="60" t="s">
        <v>262</v>
      </c>
      <c r="F2" s="61"/>
      <c r="G2" s="60" t="s">
        <v>119</v>
      </c>
      <c r="H2" s="60" t="s">
        <v>120</v>
      </c>
      <c r="I2" s="61"/>
      <c r="J2" s="60" t="s">
        <v>119</v>
      </c>
      <c r="K2" s="60" t="s">
        <v>120</v>
      </c>
      <c r="L2" s="61"/>
      <c r="M2" s="60" t="s">
        <v>119</v>
      </c>
      <c r="N2" s="60" t="s">
        <v>120</v>
      </c>
      <c r="O2" s="61"/>
      <c r="S2" s="15" t="s">
        <v>473</v>
      </c>
    </row>
    <row r="3" spans="1:21" x14ac:dyDescent="0.35">
      <c r="A3" s="16" t="s">
        <v>209</v>
      </c>
      <c r="D3" s="59"/>
      <c r="E3" s="15" t="s">
        <v>140</v>
      </c>
      <c r="F3" s="59"/>
      <c r="G3" s="1">
        <f>5000000+5000000+2800000+4840000+120000</f>
        <v>17760000</v>
      </c>
      <c r="H3" s="1">
        <f>1000000+600000+2000000+1000000+2000000+500000+1260000+2000000+300000+1230000+60000+720000+800000</f>
        <v>13470000</v>
      </c>
      <c r="I3" s="59"/>
      <c r="J3" s="1"/>
      <c r="K3" s="1">
        <v>300000</v>
      </c>
      <c r="L3" s="59"/>
      <c r="M3" s="1">
        <f>G3+J3-H3-K3</f>
        <v>3990000</v>
      </c>
      <c r="N3" s="1"/>
      <c r="O3" s="59"/>
    </row>
    <row r="4" spans="1:21" x14ac:dyDescent="0.35">
      <c r="A4" s="16"/>
      <c r="D4" s="59"/>
      <c r="E4" s="15" t="s">
        <v>386</v>
      </c>
      <c r="F4" s="59"/>
      <c r="G4" s="1"/>
      <c r="H4" s="1">
        <v>5000000</v>
      </c>
      <c r="I4" s="59"/>
      <c r="J4" s="1"/>
      <c r="K4" s="1"/>
      <c r="L4" s="59"/>
      <c r="M4" s="1"/>
      <c r="N4" s="1">
        <f t="shared" ref="N4:N18" si="0">H4+K4-G4-J4</f>
        <v>5000000</v>
      </c>
      <c r="O4" s="59"/>
      <c r="S4" s="15" t="s">
        <v>2</v>
      </c>
      <c r="U4" s="57">
        <f>N24</f>
        <v>10000000</v>
      </c>
    </row>
    <row r="5" spans="1:21" x14ac:dyDescent="0.35">
      <c r="A5" s="16" t="s">
        <v>210</v>
      </c>
      <c r="D5" s="59"/>
      <c r="E5" s="15" t="s">
        <v>18</v>
      </c>
      <c r="F5" s="59"/>
      <c r="G5" s="1">
        <v>1000000</v>
      </c>
      <c r="H5" s="1">
        <v>5000000</v>
      </c>
      <c r="I5" s="59"/>
      <c r="J5" s="1"/>
      <c r="K5" s="1"/>
      <c r="L5" s="59"/>
      <c r="M5" s="1"/>
      <c r="N5" s="1">
        <f t="shared" si="0"/>
        <v>4000000</v>
      </c>
      <c r="O5" s="59"/>
      <c r="S5" s="16" t="s">
        <v>3</v>
      </c>
    </row>
    <row r="6" spans="1:21" x14ac:dyDescent="0.35">
      <c r="A6" s="15" t="s">
        <v>211</v>
      </c>
      <c r="D6" s="59"/>
      <c r="E6" s="15" t="s">
        <v>246</v>
      </c>
      <c r="F6" s="59"/>
      <c r="G6" s="1">
        <v>600000</v>
      </c>
      <c r="H6" s="1"/>
      <c r="I6" s="59"/>
      <c r="J6" s="1"/>
      <c r="K6" s="1"/>
      <c r="L6" s="59"/>
      <c r="M6" s="1">
        <f t="shared" ref="M6:M21" si="1">G6+J6-H6-K6</f>
        <v>600000</v>
      </c>
      <c r="N6" s="1"/>
      <c r="O6" s="59"/>
      <c r="S6" s="15" t="s">
        <v>474</v>
      </c>
      <c r="T6" s="15">
        <v>0</v>
      </c>
    </row>
    <row r="7" spans="1:21" x14ac:dyDescent="0.35">
      <c r="D7" s="59"/>
      <c r="E7" s="15" t="s">
        <v>447</v>
      </c>
      <c r="F7" s="59"/>
      <c r="G7" s="1">
        <f>600000*3+200000</f>
        <v>2000000</v>
      </c>
      <c r="H7" s="1"/>
      <c r="I7" s="59"/>
      <c r="J7" s="1"/>
      <c r="K7" s="1"/>
      <c r="L7" s="59"/>
      <c r="M7" s="1">
        <f t="shared" si="1"/>
        <v>2000000</v>
      </c>
      <c r="N7" s="1"/>
      <c r="O7" s="59"/>
      <c r="S7" s="15" t="s">
        <v>475</v>
      </c>
      <c r="T7" s="57">
        <f>M38</f>
        <v>1500000</v>
      </c>
    </row>
    <row r="8" spans="1:21" x14ac:dyDescent="0.35">
      <c r="A8" s="15" t="s">
        <v>212</v>
      </c>
      <c r="D8" s="59"/>
      <c r="E8" s="15" t="s">
        <v>446</v>
      </c>
      <c r="F8" s="59"/>
      <c r="G8" s="1"/>
      <c r="H8" s="1"/>
      <c r="I8" s="59"/>
      <c r="J8" s="1">
        <f>SLN(2000000,0,5)</f>
        <v>400000</v>
      </c>
      <c r="K8" s="1"/>
      <c r="L8" s="59"/>
      <c r="M8" s="1">
        <f t="shared" si="1"/>
        <v>400000</v>
      </c>
      <c r="N8" s="1"/>
      <c r="O8" s="59"/>
      <c r="S8" s="15" t="s">
        <v>111</v>
      </c>
      <c r="T8" s="15">
        <v>0</v>
      </c>
    </row>
    <row r="9" spans="1:21" x14ac:dyDescent="0.35">
      <c r="D9" s="59"/>
      <c r="E9" s="15" t="s">
        <v>448</v>
      </c>
      <c r="F9" s="59"/>
      <c r="G9" s="1"/>
      <c r="H9" s="1"/>
      <c r="I9" s="59"/>
      <c r="J9" s="1"/>
      <c r="K9" s="1">
        <v>400000</v>
      </c>
      <c r="L9" s="59"/>
      <c r="M9" s="1"/>
      <c r="N9" s="1">
        <f t="shared" si="0"/>
        <v>400000</v>
      </c>
      <c r="O9" s="59"/>
      <c r="S9" s="16" t="s">
        <v>476</v>
      </c>
      <c r="T9" s="19">
        <f>SUM(T6:T8)</f>
        <v>1500000</v>
      </c>
    </row>
    <row r="10" spans="1:21" x14ac:dyDescent="0.35">
      <c r="A10" s="15" t="s">
        <v>213</v>
      </c>
      <c r="D10" s="59"/>
      <c r="E10" s="15" t="s">
        <v>449</v>
      </c>
      <c r="F10" s="59"/>
      <c r="G10" s="1">
        <v>1000000</v>
      </c>
      <c r="H10" s="1"/>
      <c r="I10" s="59"/>
      <c r="J10" s="1"/>
      <c r="K10" s="1"/>
      <c r="L10" s="59"/>
      <c r="M10" s="1">
        <f t="shared" si="1"/>
        <v>1000000</v>
      </c>
      <c r="N10" s="1"/>
      <c r="O10" s="59"/>
      <c r="S10" s="15" t="s">
        <v>477</v>
      </c>
      <c r="T10" s="57">
        <f>-N40</f>
        <v>-400000</v>
      </c>
      <c r="U10" s="57">
        <f>SUM(T9:T10)</f>
        <v>1100000</v>
      </c>
    </row>
    <row r="11" spans="1:21" x14ac:dyDescent="0.35">
      <c r="A11" s="15" t="s">
        <v>214</v>
      </c>
      <c r="D11" s="59"/>
      <c r="E11" s="15" t="s">
        <v>13</v>
      </c>
      <c r="F11" s="59"/>
      <c r="G11" s="1">
        <v>2000000</v>
      </c>
      <c r="H11" s="1"/>
      <c r="I11" s="59"/>
      <c r="J11" s="1"/>
      <c r="K11" s="1"/>
      <c r="L11" s="59"/>
      <c r="M11" s="1">
        <f t="shared" si="1"/>
        <v>2000000</v>
      </c>
      <c r="N11" s="1"/>
      <c r="O11" s="59"/>
      <c r="S11" s="16" t="s">
        <v>478</v>
      </c>
      <c r="T11" s="16"/>
      <c r="U11" s="58">
        <f>U4-U10</f>
        <v>8900000</v>
      </c>
    </row>
    <row r="12" spans="1:21" x14ac:dyDescent="0.35">
      <c r="A12" s="15" t="s">
        <v>215</v>
      </c>
      <c r="D12" s="59"/>
      <c r="E12" s="15" t="s">
        <v>450</v>
      </c>
      <c r="F12" s="59"/>
      <c r="G12" s="1">
        <v>500000</v>
      </c>
      <c r="H12" s="1"/>
      <c r="I12" s="59"/>
      <c r="J12" s="1"/>
      <c r="K12" s="1"/>
      <c r="L12" s="59"/>
      <c r="M12" s="1">
        <f t="shared" si="1"/>
        <v>500000</v>
      </c>
      <c r="N12" s="1"/>
      <c r="O12" s="59"/>
      <c r="S12" s="16" t="s">
        <v>479</v>
      </c>
    </row>
    <row r="13" spans="1:21" x14ac:dyDescent="0.35">
      <c r="A13" s="15" t="s">
        <v>216</v>
      </c>
      <c r="D13" s="59"/>
      <c r="E13" s="15" t="s">
        <v>451</v>
      </c>
      <c r="F13" s="59"/>
      <c r="G13" s="1"/>
      <c r="H13" s="1"/>
      <c r="I13" s="59"/>
      <c r="J13" s="1">
        <f>SLN(G10,0,8)</f>
        <v>125000</v>
      </c>
      <c r="K13" s="1"/>
      <c r="L13" s="59"/>
      <c r="M13" s="1">
        <f t="shared" si="1"/>
        <v>125000</v>
      </c>
      <c r="N13" s="1"/>
      <c r="O13" s="59"/>
      <c r="S13" s="15" t="s">
        <v>396</v>
      </c>
      <c r="U13" s="15">
        <v>0</v>
      </c>
    </row>
    <row r="14" spans="1:21" x14ac:dyDescent="0.35">
      <c r="A14" s="15" t="s">
        <v>217</v>
      </c>
      <c r="D14" s="59"/>
      <c r="E14" s="15" t="s">
        <v>452</v>
      </c>
      <c r="F14" s="59"/>
      <c r="G14" s="1"/>
      <c r="H14" s="1"/>
      <c r="I14" s="59"/>
      <c r="J14" s="1">
        <f>SLN(G11,0,8)</f>
        <v>250000</v>
      </c>
      <c r="K14" s="1"/>
      <c r="L14" s="59"/>
      <c r="M14" s="1">
        <f t="shared" si="1"/>
        <v>250000</v>
      </c>
      <c r="N14" s="1"/>
      <c r="O14" s="59"/>
      <c r="S14" s="15" t="s">
        <v>465</v>
      </c>
      <c r="U14" s="57">
        <f>N32</f>
        <v>120000</v>
      </c>
    </row>
    <row r="15" spans="1:21" x14ac:dyDescent="0.35">
      <c r="A15" s="15" t="s">
        <v>218</v>
      </c>
      <c r="D15" s="59"/>
      <c r="E15" s="15" t="s">
        <v>453</v>
      </c>
      <c r="F15" s="59"/>
      <c r="G15" s="1"/>
      <c r="H15" s="1"/>
      <c r="I15" s="59"/>
      <c r="J15" s="1">
        <f>SLN(G12,0,5)</f>
        <v>100000</v>
      </c>
      <c r="K15" s="1"/>
      <c r="L15" s="59"/>
      <c r="M15" s="1">
        <f t="shared" si="1"/>
        <v>100000</v>
      </c>
      <c r="N15" s="1"/>
      <c r="O15" s="59"/>
      <c r="S15" s="16" t="s">
        <v>480</v>
      </c>
      <c r="U15" s="58">
        <f>SUM(U11:U14)</f>
        <v>9020000</v>
      </c>
    </row>
    <row r="16" spans="1:21" x14ac:dyDescent="0.35">
      <c r="D16" s="59"/>
      <c r="E16" s="15" t="s">
        <v>455</v>
      </c>
      <c r="F16" s="59"/>
      <c r="G16" s="1"/>
      <c r="H16" s="1"/>
      <c r="I16" s="59"/>
      <c r="J16" s="1"/>
      <c r="K16" s="1">
        <v>125000</v>
      </c>
      <c r="L16" s="59"/>
      <c r="M16" s="1"/>
      <c r="N16" s="1">
        <f t="shared" si="0"/>
        <v>125000</v>
      </c>
      <c r="O16" s="59"/>
    </row>
    <row r="17" spans="1:21" x14ac:dyDescent="0.35">
      <c r="A17" s="15" t="s">
        <v>219</v>
      </c>
      <c r="D17" s="59"/>
      <c r="E17" s="15" t="s">
        <v>454</v>
      </c>
      <c r="F17" s="59"/>
      <c r="G17" s="1"/>
      <c r="H17" s="1"/>
      <c r="I17" s="59"/>
      <c r="J17" s="1"/>
      <c r="K17" s="1">
        <v>250000</v>
      </c>
      <c r="L17" s="59"/>
      <c r="M17" s="1"/>
      <c r="N17" s="1">
        <f t="shared" si="0"/>
        <v>250000</v>
      </c>
      <c r="O17" s="59"/>
      <c r="S17" s="16" t="s">
        <v>414</v>
      </c>
    </row>
    <row r="18" spans="1:21" x14ac:dyDescent="0.35">
      <c r="A18" s="15" t="s">
        <v>220</v>
      </c>
      <c r="D18" s="59"/>
      <c r="E18" s="15" t="s">
        <v>456</v>
      </c>
      <c r="F18" s="59"/>
      <c r="G18" s="1"/>
      <c r="H18" s="1"/>
      <c r="I18" s="59"/>
      <c r="J18" s="1"/>
      <c r="K18" s="1">
        <v>100000</v>
      </c>
      <c r="L18" s="59"/>
      <c r="M18" s="1"/>
      <c r="N18" s="1">
        <f t="shared" si="0"/>
        <v>100000</v>
      </c>
      <c r="O18" s="59"/>
      <c r="S18" s="15" t="s">
        <v>481</v>
      </c>
      <c r="T18" s="57">
        <f>M8+M13+M15+M19+M20+M21+M22+M33+M14</f>
        <v>5335000</v>
      </c>
    </row>
    <row r="19" spans="1:21" x14ac:dyDescent="0.35">
      <c r="A19" s="15" t="s">
        <v>216</v>
      </c>
      <c r="D19" s="59"/>
      <c r="E19" s="15" t="s">
        <v>457</v>
      </c>
      <c r="F19" s="59"/>
      <c r="G19" s="1">
        <f>60000*12</f>
        <v>720000</v>
      </c>
      <c r="H19" s="1"/>
      <c r="I19" s="59"/>
      <c r="J19" s="1"/>
      <c r="K19" s="1"/>
      <c r="L19" s="59"/>
      <c r="M19" s="1">
        <f t="shared" si="1"/>
        <v>720000</v>
      </c>
      <c r="N19" s="1"/>
      <c r="O19" s="59"/>
      <c r="S19" s="15" t="s">
        <v>342</v>
      </c>
      <c r="T19" s="57">
        <f>M27+M28+M30+M34+M35+M23+M29</f>
        <v>1154500</v>
      </c>
    </row>
    <row r="20" spans="1:21" x14ac:dyDescent="0.35">
      <c r="A20" s="15" t="s">
        <v>221</v>
      </c>
      <c r="D20" s="59"/>
      <c r="E20" s="15" t="s">
        <v>458</v>
      </c>
      <c r="F20" s="59"/>
      <c r="G20" s="1">
        <f>30000*12</f>
        <v>360000</v>
      </c>
      <c r="H20" s="1"/>
      <c r="I20" s="59"/>
      <c r="J20" s="1"/>
      <c r="K20" s="1"/>
      <c r="L20" s="59"/>
      <c r="M20" s="1">
        <f t="shared" si="1"/>
        <v>360000</v>
      </c>
      <c r="N20" s="1"/>
      <c r="O20" s="59"/>
      <c r="S20" s="15" t="s">
        <v>246</v>
      </c>
      <c r="T20" s="57">
        <f>M6</f>
        <v>600000</v>
      </c>
      <c r="U20" s="58">
        <f>SUM(T18:T20)</f>
        <v>7089500</v>
      </c>
    </row>
    <row r="21" spans="1:21" x14ac:dyDescent="0.35">
      <c r="A21" s="15" t="s">
        <v>222</v>
      </c>
      <c r="D21" s="59"/>
      <c r="E21" s="15" t="s">
        <v>459</v>
      </c>
      <c r="F21" s="59"/>
      <c r="G21" s="1">
        <f>15000*12</f>
        <v>180000</v>
      </c>
      <c r="H21" s="1"/>
      <c r="I21" s="59"/>
      <c r="J21" s="1"/>
      <c r="K21" s="1"/>
      <c r="L21" s="59"/>
      <c r="M21" s="1">
        <f t="shared" si="1"/>
        <v>180000</v>
      </c>
      <c r="N21" s="1"/>
      <c r="O21" s="59"/>
      <c r="S21" s="16" t="s">
        <v>482</v>
      </c>
      <c r="T21" s="16"/>
      <c r="U21" s="58">
        <f>U15-U20</f>
        <v>1930500</v>
      </c>
    </row>
    <row r="22" spans="1:21" x14ac:dyDescent="0.35">
      <c r="D22" s="59"/>
      <c r="E22" s="15" t="s">
        <v>460</v>
      </c>
      <c r="F22" s="59"/>
      <c r="G22" s="1">
        <v>2000000</v>
      </c>
      <c r="H22" s="1"/>
      <c r="I22" s="59"/>
      <c r="J22" s="1"/>
      <c r="K22" s="1"/>
      <c r="L22" s="59"/>
      <c r="M22" s="1">
        <f>G22+J22-H22-K22</f>
        <v>2000000</v>
      </c>
      <c r="N22" s="1"/>
      <c r="O22" s="59"/>
      <c r="S22" s="15" t="s">
        <v>483</v>
      </c>
      <c r="U22" s="15">
        <v>0</v>
      </c>
    </row>
    <row r="23" spans="1:21" x14ac:dyDescent="0.35">
      <c r="A23" s="15" t="s">
        <v>223</v>
      </c>
      <c r="D23" s="59"/>
      <c r="E23" s="15" t="s">
        <v>461</v>
      </c>
      <c r="F23" s="59"/>
      <c r="G23" s="1">
        <v>300000</v>
      </c>
      <c r="H23" s="1"/>
      <c r="I23" s="59"/>
      <c r="J23" s="1"/>
      <c r="K23" s="1"/>
      <c r="L23" s="59"/>
      <c r="M23" s="1">
        <f t="shared" ref="M23:M41" si="2">G23+J23-H23-K23</f>
        <v>300000</v>
      </c>
      <c r="N23" s="1"/>
      <c r="O23" s="59"/>
      <c r="S23" s="15" t="s">
        <v>484</v>
      </c>
      <c r="U23" s="15">
        <v>0</v>
      </c>
    </row>
    <row r="24" spans="1:21" x14ac:dyDescent="0.35">
      <c r="A24" s="15" t="s">
        <v>224</v>
      </c>
      <c r="D24" s="59"/>
      <c r="E24" s="15" t="s">
        <v>2</v>
      </c>
      <c r="F24" s="59"/>
      <c r="G24" s="1"/>
      <c r="H24" s="1">
        <v>10000000</v>
      </c>
      <c r="I24" s="59"/>
      <c r="J24" s="1"/>
      <c r="K24" s="1"/>
      <c r="L24" s="59"/>
      <c r="M24" s="1"/>
      <c r="N24" s="1">
        <f t="shared" ref="N24:N40" si="3">H24+K24-G24-J24</f>
        <v>10000000</v>
      </c>
      <c r="O24" s="59"/>
      <c r="S24" s="16" t="s">
        <v>485</v>
      </c>
      <c r="T24" s="16"/>
      <c r="U24" s="58">
        <f>SUM(U21-U22-U23)</f>
        <v>1930500</v>
      </c>
    </row>
    <row r="25" spans="1:21" x14ac:dyDescent="0.35">
      <c r="A25" s="15" t="s">
        <v>225</v>
      </c>
      <c r="D25" s="59"/>
      <c r="E25" s="15" t="s">
        <v>51</v>
      </c>
      <c r="F25" s="59"/>
      <c r="G25" s="1">
        <v>4000000</v>
      </c>
      <c r="H25" s="1">
        <v>2800000</v>
      </c>
      <c r="I25" s="59"/>
      <c r="J25" s="1"/>
      <c r="K25" s="1">
        <v>200000</v>
      </c>
      <c r="L25" s="59"/>
      <c r="M25" s="1">
        <f t="shared" si="2"/>
        <v>1000000</v>
      </c>
      <c r="N25" s="1"/>
      <c r="O25" s="59"/>
      <c r="S25" s="15" t="s">
        <v>500</v>
      </c>
      <c r="U25" s="15">
        <v>0</v>
      </c>
    </row>
    <row r="26" spans="1:21" x14ac:dyDescent="0.35">
      <c r="D26" s="59"/>
      <c r="E26" s="15" t="s">
        <v>391</v>
      </c>
      <c r="F26" s="59"/>
      <c r="G26" s="1">
        <v>6000000</v>
      </c>
      <c r="H26" s="1">
        <f>1040000+4840000</f>
        <v>5880000</v>
      </c>
      <c r="I26" s="59"/>
      <c r="J26" s="1"/>
      <c r="K26" s="1"/>
      <c r="L26" s="59"/>
      <c r="M26" s="1">
        <f t="shared" si="2"/>
        <v>120000</v>
      </c>
      <c r="N26" s="1"/>
      <c r="O26" s="59"/>
      <c r="S26" s="16" t="s">
        <v>434</v>
      </c>
      <c r="T26" s="16"/>
      <c r="U26" s="58">
        <f>SUM(U24:U25)</f>
        <v>1930500</v>
      </c>
    </row>
    <row r="27" spans="1:21" x14ac:dyDescent="0.35">
      <c r="A27" s="15" t="s">
        <v>226</v>
      </c>
      <c r="D27" s="59"/>
      <c r="E27" s="15" t="s">
        <v>393</v>
      </c>
      <c r="F27" s="59"/>
      <c r="G27" s="1"/>
      <c r="H27" s="1"/>
      <c r="I27" s="59"/>
      <c r="J27" s="1">
        <v>200000</v>
      </c>
      <c r="K27" s="1"/>
      <c r="L27" s="59"/>
      <c r="M27" s="1">
        <f t="shared" si="2"/>
        <v>200000</v>
      </c>
      <c r="N27" s="1"/>
      <c r="O27" s="59"/>
    </row>
    <row r="28" spans="1:21" x14ac:dyDescent="0.35">
      <c r="A28" s="15" t="s">
        <v>227</v>
      </c>
      <c r="D28" s="59"/>
      <c r="E28" s="15" t="s">
        <v>462</v>
      </c>
      <c r="F28" s="59"/>
      <c r="G28" s="1">
        <v>500000</v>
      </c>
      <c r="H28" s="1"/>
      <c r="I28" s="59"/>
      <c r="J28" s="1"/>
      <c r="K28" s="1"/>
      <c r="L28" s="59"/>
      <c r="M28" s="1">
        <f t="shared" si="2"/>
        <v>500000</v>
      </c>
      <c r="N28" s="1"/>
      <c r="O28" s="59"/>
      <c r="S28" s="16"/>
      <c r="T28" s="16"/>
      <c r="U28" s="16"/>
    </row>
    <row r="29" spans="1:21" x14ac:dyDescent="0.35">
      <c r="A29" s="15" t="s">
        <v>228</v>
      </c>
      <c r="D29" s="59"/>
      <c r="E29" s="15" t="s">
        <v>463</v>
      </c>
      <c r="F29" s="59"/>
      <c r="G29" s="1">
        <v>40000</v>
      </c>
      <c r="H29" s="1"/>
      <c r="I29" s="59"/>
      <c r="J29" s="1"/>
      <c r="K29" s="1"/>
      <c r="L29" s="59"/>
      <c r="M29" s="1">
        <f t="shared" si="2"/>
        <v>40000</v>
      </c>
      <c r="N29" s="1"/>
      <c r="O29" s="59"/>
    </row>
    <row r="30" spans="1:21" x14ac:dyDescent="0.35">
      <c r="A30" s="15" t="s">
        <v>216</v>
      </c>
      <c r="D30" s="59"/>
      <c r="E30" s="15" t="s">
        <v>464</v>
      </c>
      <c r="F30" s="59"/>
      <c r="G30" s="1">
        <v>20000</v>
      </c>
      <c r="H30" s="1"/>
      <c r="I30" s="59"/>
      <c r="J30" s="1"/>
      <c r="K30" s="1"/>
      <c r="L30" s="59"/>
      <c r="M30" s="1">
        <f t="shared" si="2"/>
        <v>20000</v>
      </c>
      <c r="N30" s="1"/>
      <c r="O30" s="59"/>
    </row>
    <row r="31" spans="1:21" x14ac:dyDescent="0.35">
      <c r="A31" s="15" t="s">
        <v>229</v>
      </c>
      <c r="D31" s="59"/>
      <c r="E31" s="15" t="s">
        <v>394</v>
      </c>
      <c r="F31" s="59"/>
      <c r="G31" s="1">
        <f>40000*12+12*60000</f>
        <v>1200000</v>
      </c>
      <c r="H31" s="1"/>
      <c r="I31" s="59"/>
      <c r="J31" s="1"/>
      <c r="K31" s="1"/>
      <c r="L31" s="59"/>
      <c r="M31" s="1">
        <f t="shared" si="2"/>
        <v>1200000</v>
      </c>
      <c r="N31" s="1"/>
      <c r="O31" s="59"/>
    </row>
    <row r="32" spans="1:21" x14ac:dyDescent="0.35">
      <c r="A32" s="15" t="s">
        <v>242</v>
      </c>
      <c r="D32" s="59"/>
      <c r="E32" s="15" t="s">
        <v>465</v>
      </c>
      <c r="F32" s="59"/>
      <c r="H32" s="1">
        <v>120000</v>
      </c>
      <c r="I32" s="59"/>
      <c r="J32" s="1"/>
      <c r="K32" s="1"/>
      <c r="L32" s="59"/>
      <c r="M32" s="1"/>
      <c r="N32" s="1">
        <f t="shared" si="3"/>
        <v>120000</v>
      </c>
      <c r="O32" s="59"/>
    </row>
    <row r="33" spans="1:21" x14ac:dyDescent="0.35">
      <c r="A33" s="15" t="s">
        <v>243</v>
      </c>
      <c r="D33" s="59"/>
      <c r="E33" s="15" t="s">
        <v>466</v>
      </c>
      <c r="F33" s="59"/>
      <c r="G33" s="1">
        <f>12*100000</f>
        <v>1200000</v>
      </c>
      <c r="H33" s="1"/>
      <c r="I33" s="59"/>
      <c r="J33" s="1"/>
      <c r="K33" s="1"/>
      <c r="L33" s="59"/>
      <c r="M33" s="1">
        <f t="shared" si="2"/>
        <v>1200000</v>
      </c>
      <c r="N33" s="1"/>
      <c r="O33" s="59"/>
    </row>
    <row r="34" spans="1:21" x14ac:dyDescent="0.35">
      <c r="A34" s="15" t="s">
        <v>244</v>
      </c>
      <c r="D34" s="59"/>
      <c r="E34" s="15" t="s">
        <v>468</v>
      </c>
      <c r="F34" s="59"/>
      <c r="G34" s="1">
        <v>30000</v>
      </c>
      <c r="H34" s="1"/>
      <c r="I34" s="59"/>
      <c r="J34" s="1"/>
      <c r="K34" s="1"/>
      <c r="L34" s="59"/>
      <c r="M34" s="1">
        <f t="shared" si="2"/>
        <v>30000</v>
      </c>
      <c r="N34" s="1"/>
      <c r="O34" s="59"/>
      <c r="S34" s="15" t="s">
        <v>422</v>
      </c>
    </row>
    <row r="35" spans="1:21" x14ac:dyDescent="0.35">
      <c r="D35" s="59"/>
      <c r="E35" s="15" t="s">
        <v>467</v>
      </c>
      <c r="F35" s="59"/>
      <c r="G35" s="1">
        <v>60000</v>
      </c>
      <c r="H35" s="1"/>
      <c r="I35" s="59"/>
      <c r="J35" s="1">
        <v>4500</v>
      </c>
      <c r="K35" s="1"/>
      <c r="L35" s="59"/>
      <c r="M35" s="1">
        <f t="shared" si="2"/>
        <v>64500</v>
      </c>
      <c r="N35" s="1"/>
      <c r="O35" s="59"/>
    </row>
    <row r="36" spans="1:21" x14ac:dyDescent="0.35">
      <c r="A36" s="15" t="s">
        <v>230</v>
      </c>
      <c r="D36" s="59"/>
      <c r="E36" s="15" t="s">
        <v>469</v>
      </c>
      <c r="F36" s="59"/>
      <c r="H36" s="1"/>
      <c r="I36" s="59"/>
      <c r="J36" s="1"/>
      <c r="K36" s="1">
        <v>4500</v>
      </c>
      <c r="L36" s="59"/>
      <c r="M36" s="1"/>
      <c r="N36" s="1">
        <f t="shared" si="3"/>
        <v>4500</v>
      </c>
      <c r="O36" s="59"/>
      <c r="S36" s="16" t="s">
        <v>486</v>
      </c>
    </row>
    <row r="37" spans="1:21" x14ac:dyDescent="0.35">
      <c r="D37" s="59"/>
      <c r="E37" s="15" t="s">
        <v>470</v>
      </c>
      <c r="F37" s="59"/>
      <c r="G37" s="1"/>
      <c r="H37" s="1"/>
      <c r="I37" s="59"/>
      <c r="J37" s="1">
        <v>300000</v>
      </c>
      <c r="L37" s="59"/>
      <c r="M37" s="1">
        <f t="shared" si="2"/>
        <v>300000</v>
      </c>
      <c r="N37" s="1"/>
      <c r="O37" s="59"/>
      <c r="S37" s="15" t="s">
        <v>487</v>
      </c>
      <c r="U37" s="57">
        <f>(M7+M10+M12+M11)-(N9+N16+N17+N18)</f>
        <v>4625000</v>
      </c>
    </row>
    <row r="38" spans="1:21" x14ac:dyDescent="0.35">
      <c r="A38" s="15" t="s">
        <v>231</v>
      </c>
      <c r="D38" s="59"/>
      <c r="E38" s="15" t="s">
        <v>122</v>
      </c>
      <c r="F38" s="59"/>
      <c r="G38" s="1">
        <v>1500000</v>
      </c>
      <c r="H38" s="1"/>
      <c r="I38" s="59"/>
      <c r="J38" s="1"/>
      <c r="K38" s="1"/>
      <c r="L38" s="59"/>
      <c r="M38" s="1">
        <f t="shared" si="2"/>
        <v>1500000</v>
      </c>
      <c r="N38" s="1"/>
      <c r="O38" s="59"/>
      <c r="S38" s="15" t="s">
        <v>488</v>
      </c>
    </row>
    <row r="39" spans="1:21" x14ac:dyDescent="0.35">
      <c r="D39" s="59"/>
      <c r="E39" s="15" t="s">
        <v>357</v>
      </c>
      <c r="F39" s="59"/>
      <c r="G39" s="1">
        <v>800000</v>
      </c>
      <c r="H39" s="1">
        <v>1500000</v>
      </c>
      <c r="I39" s="59"/>
      <c r="J39" s="1"/>
      <c r="K39" s="1"/>
      <c r="L39" s="59"/>
      <c r="M39" s="1"/>
      <c r="N39" s="1">
        <f t="shared" si="3"/>
        <v>700000</v>
      </c>
      <c r="O39" s="59"/>
      <c r="S39" s="15" t="s">
        <v>489</v>
      </c>
    </row>
    <row r="40" spans="1:21" x14ac:dyDescent="0.35">
      <c r="A40" s="15" t="s">
        <v>232</v>
      </c>
      <c r="D40" s="59"/>
      <c r="E40" s="15" t="s">
        <v>471</v>
      </c>
      <c r="F40" s="59"/>
      <c r="G40" s="1"/>
      <c r="H40" s="1"/>
      <c r="I40" s="59"/>
      <c r="J40" s="1"/>
      <c r="K40" s="1">
        <v>400000</v>
      </c>
      <c r="L40" s="59"/>
      <c r="M40" s="1"/>
      <c r="N40" s="1">
        <f t="shared" si="3"/>
        <v>400000</v>
      </c>
      <c r="O40" s="59"/>
    </row>
    <row r="41" spans="1:21" x14ac:dyDescent="0.35">
      <c r="A41" s="15" t="s">
        <v>233</v>
      </c>
      <c r="D41" s="59"/>
      <c r="E41" s="15" t="s">
        <v>472</v>
      </c>
      <c r="F41" s="59"/>
      <c r="G41" s="1"/>
      <c r="H41" s="1"/>
      <c r="I41" s="59"/>
      <c r="J41" s="1">
        <v>400000</v>
      </c>
      <c r="K41" s="1"/>
      <c r="L41" s="59"/>
      <c r="M41" s="1">
        <f t="shared" si="2"/>
        <v>400000</v>
      </c>
      <c r="N41" s="1"/>
      <c r="O41" s="59"/>
    </row>
    <row r="42" spans="1:21" x14ac:dyDescent="0.35">
      <c r="A42" s="15" t="s">
        <v>234</v>
      </c>
      <c r="D42" s="59"/>
      <c r="F42" s="59"/>
      <c r="G42" s="1"/>
      <c r="H42" s="1"/>
      <c r="I42" s="59"/>
      <c r="J42" s="1"/>
      <c r="K42" s="1"/>
      <c r="L42" s="59"/>
      <c r="M42" s="1"/>
      <c r="N42" s="1"/>
      <c r="O42" s="59"/>
      <c r="S42" s="16" t="s">
        <v>427</v>
      </c>
    </row>
    <row r="43" spans="1:21" x14ac:dyDescent="0.35">
      <c r="D43" s="59"/>
      <c r="F43" s="59"/>
      <c r="G43" s="1"/>
      <c r="H43" s="1"/>
      <c r="I43" s="59"/>
      <c r="J43" s="1"/>
      <c r="K43" s="1"/>
      <c r="L43" s="59"/>
      <c r="M43" s="1"/>
      <c r="N43" s="1"/>
      <c r="O43" s="59"/>
      <c r="S43" s="15" t="s">
        <v>428</v>
      </c>
      <c r="U43" s="57">
        <f>M41</f>
        <v>400000</v>
      </c>
    </row>
    <row r="44" spans="1:21" x14ac:dyDescent="0.35">
      <c r="D44" s="59"/>
      <c r="F44" s="59"/>
      <c r="G44" s="1"/>
      <c r="H44" s="1"/>
      <c r="I44" s="59"/>
      <c r="J44" s="1"/>
      <c r="K44" s="1"/>
      <c r="L44" s="59"/>
      <c r="M44" s="1"/>
      <c r="N44" s="1"/>
      <c r="O44" s="59"/>
      <c r="S44" s="15" t="s">
        <v>51</v>
      </c>
      <c r="U44" s="57">
        <f>M25</f>
        <v>1000000</v>
      </c>
    </row>
    <row r="45" spans="1:21" x14ac:dyDescent="0.35">
      <c r="A45" s="15" t="s">
        <v>235</v>
      </c>
      <c r="D45" s="59"/>
      <c r="F45" s="59"/>
      <c r="G45" s="1"/>
      <c r="H45" s="1"/>
      <c r="I45" s="59"/>
      <c r="J45" s="1"/>
      <c r="K45" s="1"/>
      <c r="L45" s="59"/>
      <c r="M45" s="1"/>
      <c r="N45" s="1"/>
      <c r="O45" s="59"/>
      <c r="S45" s="15" t="s">
        <v>490</v>
      </c>
      <c r="U45" s="57">
        <f>M3+M26</f>
        <v>4110000</v>
      </c>
    </row>
    <row r="46" spans="1:21" x14ac:dyDescent="0.35">
      <c r="D46" s="59"/>
      <c r="F46" s="59"/>
      <c r="G46" s="1"/>
      <c r="H46" s="1"/>
      <c r="I46" s="59"/>
      <c r="J46" s="1"/>
      <c r="K46" s="1"/>
      <c r="L46" s="59"/>
      <c r="M46" s="1"/>
      <c r="N46" s="1"/>
      <c r="O46" s="59"/>
      <c r="S46" s="15" t="s">
        <v>271</v>
      </c>
      <c r="U46" s="57">
        <f>M37</f>
        <v>300000</v>
      </c>
    </row>
    <row r="47" spans="1:21" x14ac:dyDescent="0.35">
      <c r="A47" s="15" t="s">
        <v>236</v>
      </c>
      <c r="D47" s="59"/>
      <c r="F47" s="59"/>
      <c r="G47" s="1"/>
      <c r="H47" s="1"/>
      <c r="I47" s="59"/>
      <c r="J47" s="1"/>
      <c r="K47" s="1"/>
      <c r="L47" s="59"/>
      <c r="M47" s="1"/>
      <c r="N47" s="1"/>
      <c r="O47" s="59"/>
    </row>
    <row r="48" spans="1:21" x14ac:dyDescent="0.35">
      <c r="A48" s="15" t="s">
        <v>237</v>
      </c>
      <c r="D48" s="59"/>
      <c r="F48" s="59"/>
      <c r="G48" s="1"/>
      <c r="H48" s="1"/>
      <c r="I48" s="59"/>
      <c r="J48" s="1"/>
      <c r="K48" s="1"/>
      <c r="L48" s="59"/>
      <c r="M48" s="1"/>
      <c r="N48" s="1"/>
      <c r="O48" s="59"/>
      <c r="U48" s="67"/>
    </row>
    <row r="49" spans="1:21" ht="16" thickBot="1" x14ac:dyDescent="0.4">
      <c r="D49" s="59"/>
      <c r="F49" s="59"/>
      <c r="G49" s="1"/>
      <c r="H49" s="1"/>
      <c r="I49" s="59"/>
      <c r="J49" s="1"/>
      <c r="K49" s="1"/>
      <c r="L49" s="59"/>
      <c r="M49" s="1"/>
      <c r="N49" s="1"/>
      <c r="O49" s="59"/>
      <c r="S49" s="16" t="s">
        <v>430</v>
      </c>
      <c r="T49" s="16"/>
      <c r="U49" s="68">
        <f>SUM(U37:U46)</f>
        <v>10435000</v>
      </c>
    </row>
    <row r="50" spans="1:21" ht="16" thickTop="1" x14ac:dyDescent="0.35">
      <c r="A50" s="15" t="s">
        <v>238</v>
      </c>
      <c r="D50" s="59"/>
      <c r="F50" s="59"/>
      <c r="G50" s="1"/>
      <c r="H50" s="1"/>
      <c r="I50" s="59"/>
      <c r="J50" s="1"/>
      <c r="K50" s="1"/>
      <c r="L50" s="59"/>
      <c r="M50" s="1"/>
      <c r="N50" s="1"/>
      <c r="O50" s="59"/>
    </row>
    <row r="51" spans="1:21" x14ac:dyDescent="0.35">
      <c r="A51" s="15" t="s">
        <v>239</v>
      </c>
      <c r="D51" s="59"/>
      <c r="F51" s="59"/>
      <c r="G51" s="1"/>
      <c r="H51" s="1"/>
      <c r="I51" s="59"/>
      <c r="J51" s="1"/>
      <c r="K51" s="1"/>
      <c r="L51" s="59"/>
      <c r="M51" s="1"/>
      <c r="N51" s="1"/>
      <c r="O51" s="59"/>
      <c r="S51" s="15" t="s">
        <v>491</v>
      </c>
    </row>
    <row r="52" spans="1:21" x14ac:dyDescent="0.35">
      <c r="D52" s="59"/>
      <c r="F52" s="59"/>
      <c r="G52" s="1"/>
      <c r="H52" s="1"/>
      <c r="I52" s="59"/>
      <c r="J52" s="1"/>
      <c r="K52" s="1"/>
      <c r="L52" s="59"/>
      <c r="M52" s="1"/>
      <c r="N52" s="1"/>
      <c r="O52" s="59"/>
      <c r="S52" s="15" t="s">
        <v>432</v>
      </c>
    </row>
    <row r="53" spans="1:21" x14ac:dyDescent="0.35">
      <c r="A53" s="17" t="s">
        <v>240</v>
      </c>
      <c r="D53" s="59"/>
      <c r="F53" s="59"/>
      <c r="G53" s="1"/>
      <c r="H53" s="1"/>
      <c r="I53" s="59"/>
      <c r="J53" s="1"/>
      <c r="K53" s="1"/>
      <c r="L53" s="59"/>
      <c r="M53" s="1"/>
      <c r="N53" s="1"/>
      <c r="O53" s="59"/>
      <c r="S53" s="15" t="s">
        <v>386</v>
      </c>
      <c r="U53" s="57">
        <f>N4</f>
        <v>5000000</v>
      </c>
    </row>
    <row r="54" spans="1:21" x14ac:dyDescent="0.35">
      <c r="A54" s="15" t="s">
        <v>241</v>
      </c>
      <c r="D54" s="59"/>
      <c r="F54" s="59"/>
      <c r="G54" s="1"/>
      <c r="H54" s="1"/>
      <c r="I54" s="59"/>
      <c r="J54" s="1"/>
      <c r="K54" s="1"/>
      <c r="L54" s="59"/>
      <c r="M54" s="1"/>
      <c r="N54" s="1"/>
      <c r="O54" s="59"/>
      <c r="S54" s="15" t="s">
        <v>394</v>
      </c>
      <c r="U54" s="57">
        <f>-M31</f>
        <v>-1200000</v>
      </c>
    </row>
    <row r="55" spans="1:21" x14ac:dyDescent="0.35">
      <c r="A55" s="15" t="s">
        <v>263</v>
      </c>
      <c r="D55" s="59"/>
      <c r="F55" s="59"/>
      <c r="G55" s="1"/>
      <c r="H55" s="1"/>
      <c r="I55" s="59"/>
      <c r="J55" s="1"/>
      <c r="K55" s="1"/>
      <c r="L55" s="59"/>
      <c r="M55" s="1"/>
      <c r="N55" s="1"/>
      <c r="O55" s="59"/>
    </row>
    <row r="56" spans="1:21" x14ac:dyDescent="0.35">
      <c r="A56" s="15" t="s">
        <v>264</v>
      </c>
      <c r="D56" s="59"/>
      <c r="F56" s="59"/>
      <c r="G56" s="1"/>
      <c r="H56" s="1"/>
      <c r="I56" s="59"/>
      <c r="J56" s="1"/>
      <c r="K56" s="1"/>
      <c r="L56" s="59"/>
      <c r="M56" s="1"/>
      <c r="N56" s="1"/>
      <c r="O56" s="59"/>
      <c r="S56" s="16" t="s">
        <v>433</v>
      </c>
    </row>
    <row r="57" spans="1:21" x14ac:dyDescent="0.35">
      <c r="D57" s="59"/>
      <c r="F57" s="59"/>
      <c r="G57" s="1"/>
      <c r="H57" s="1"/>
      <c r="I57" s="59"/>
      <c r="J57" s="1"/>
      <c r="K57" s="1"/>
      <c r="L57" s="59"/>
      <c r="M57" s="1"/>
      <c r="N57" s="1"/>
      <c r="O57" s="59"/>
      <c r="S57" s="15" t="s">
        <v>492</v>
      </c>
      <c r="U57" s="15">
        <v>0</v>
      </c>
    </row>
    <row r="58" spans="1:21" ht="16" thickBot="1" x14ac:dyDescent="0.4">
      <c r="C58" s="62" t="s">
        <v>383</v>
      </c>
      <c r="D58" s="63"/>
      <c r="E58" s="64"/>
      <c r="F58" s="65"/>
      <c r="G58" s="64">
        <f>SUM(G3:G57)</f>
        <v>43770000</v>
      </c>
      <c r="H58" s="64">
        <f>SUM(H3:H57)</f>
        <v>43770000</v>
      </c>
      <c r="I58" s="65"/>
      <c r="J58" s="64">
        <f>SUM(J3:J57)</f>
        <v>1779500</v>
      </c>
      <c r="K58" s="64">
        <f>SUM(K3:K57)</f>
        <v>1779500</v>
      </c>
      <c r="L58" s="65"/>
      <c r="M58" s="64">
        <f>SUM(M3:M57)</f>
        <v>21099500</v>
      </c>
      <c r="N58" s="64">
        <f>SUM(N3:N57)</f>
        <v>21099500</v>
      </c>
      <c r="O58" s="63"/>
      <c r="S58" s="15" t="s">
        <v>493</v>
      </c>
      <c r="U58" s="57">
        <f>U26</f>
        <v>1930500</v>
      </c>
    </row>
    <row r="59" spans="1:21" ht="16" thickTop="1" x14ac:dyDescent="0.35">
      <c r="C59" s="15" t="s">
        <v>441</v>
      </c>
      <c r="E59" s="1"/>
      <c r="F59" s="1"/>
      <c r="G59" s="1">
        <f>G58-H58</f>
        <v>0</v>
      </c>
      <c r="H59" s="1"/>
      <c r="I59" s="1"/>
      <c r="J59" s="1">
        <f>J58-K58</f>
        <v>0</v>
      </c>
      <c r="K59" s="1"/>
      <c r="L59" s="1"/>
      <c r="M59" s="1">
        <f>M58-N58</f>
        <v>0</v>
      </c>
      <c r="N59" s="1"/>
      <c r="S59" s="15" t="s">
        <v>494</v>
      </c>
    </row>
    <row r="60" spans="1:21" x14ac:dyDescent="0.35">
      <c r="S60" s="15" t="s">
        <v>352</v>
      </c>
    </row>
    <row r="61" spans="1:21" x14ac:dyDescent="0.35">
      <c r="S61" s="16" t="s">
        <v>495</v>
      </c>
      <c r="T61" s="16"/>
      <c r="U61" s="58">
        <f>SUM(U53:U60)</f>
        <v>5730500</v>
      </c>
    </row>
    <row r="63" spans="1:21" x14ac:dyDescent="0.35">
      <c r="S63" s="16" t="s">
        <v>496</v>
      </c>
    </row>
    <row r="64" spans="1:21" x14ac:dyDescent="0.35">
      <c r="S64" s="15" t="s">
        <v>18</v>
      </c>
      <c r="U64" s="57">
        <f>N5</f>
        <v>4000000</v>
      </c>
    </row>
    <row r="66" spans="19:21" x14ac:dyDescent="0.35">
      <c r="S66" s="16" t="s">
        <v>438</v>
      </c>
    </row>
    <row r="67" spans="19:21" x14ac:dyDescent="0.35">
      <c r="S67" s="15" t="s">
        <v>357</v>
      </c>
      <c r="U67" s="57">
        <f>N39</f>
        <v>700000</v>
      </c>
    </row>
    <row r="68" spans="19:21" x14ac:dyDescent="0.35">
      <c r="S68" s="15" t="s">
        <v>497</v>
      </c>
      <c r="U68" s="15">
        <v>0</v>
      </c>
    </row>
    <row r="69" spans="19:21" x14ac:dyDescent="0.35">
      <c r="S69" s="15" t="s">
        <v>498</v>
      </c>
      <c r="U69" s="15">
        <f>0</f>
        <v>0</v>
      </c>
    </row>
    <row r="70" spans="19:21" x14ac:dyDescent="0.35">
      <c r="S70" s="15" t="s">
        <v>501</v>
      </c>
      <c r="U70" s="57">
        <f>N36</f>
        <v>4500</v>
      </c>
    </row>
    <row r="72" spans="19:21" x14ac:dyDescent="0.35">
      <c r="S72" s="16" t="s">
        <v>439</v>
      </c>
      <c r="T72" s="16"/>
      <c r="U72" s="58">
        <f>SUM(U64:U71)</f>
        <v>4704500</v>
      </c>
    </row>
    <row r="73" spans="19:21" ht="16" thickBot="1" x14ac:dyDescent="0.4">
      <c r="S73" s="16" t="s">
        <v>499</v>
      </c>
      <c r="T73" s="16"/>
      <c r="U73" s="66">
        <f>SUM(U72,U61)</f>
        <v>10435000</v>
      </c>
    </row>
    <row r="74" spans="19:21" ht="16" thickTop="1" x14ac:dyDescent="0.35"/>
    <row r="75" spans="19:21" x14ac:dyDescent="0.35">
      <c r="S75" s="15" t="s">
        <v>441</v>
      </c>
      <c r="U75" s="57">
        <f>U49-U73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44E2-AB05-45AC-B774-71A59CE0F410}">
  <dimension ref="A1:AU86"/>
  <sheetViews>
    <sheetView tabSelected="1" topLeftCell="A16" workbookViewId="0">
      <selection sqref="A1:XFD1048576"/>
    </sheetView>
  </sheetViews>
  <sheetFormatPr defaultRowHeight="15.5" x14ac:dyDescent="0.35"/>
  <cols>
    <col min="1" max="1" width="32.54296875" style="15" customWidth="1"/>
    <col min="2" max="2" width="21" style="15" customWidth="1"/>
    <col min="3" max="3" width="25.7265625" style="15" customWidth="1"/>
    <col min="4" max="4" width="19.36328125" style="15" customWidth="1"/>
    <col min="5" max="5" width="34.6328125" style="15" customWidth="1"/>
    <col min="6" max="6" width="2.54296875" style="15" customWidth="1"/>
    <col min="7" max="7" width="40.36328125" style="15" bestFit="1" customWidth="1"/>
    <col min="8" max="8" width="1" style="15" customWidth="1"/>
    <col min="9" max="9" width="12.26953125" style="15" customWidth="1"/>
    <col min="10" max="10" width="11.36328125" style="15" customWidth="1"/>
    <col min="11" max="11" width="0.7265625" style="15" customWidth="1"/>
    <col min="12" max="12" width="10.26953125" style="15" customWidth="1"/>
    <col min="13" max="13" width="11.26953125" style="15" customWidth="1"/>
    <col min="14" max="14" width="0.6328125" style="15" customWidth="1"/>
    <col min="15" max="15" width="12.81640625" style="15" customWidth="1"/>
    <col min="16" max="16" width="12" style="15" customWidth="1"/>
    <col min="17" max="17" width="0.7265625" style="15" customWidth="1"/>
    <col min="18" max="18" width="26.26953125" style="87" customWidth="1"/>
    <col min="19" max="19" width="12.90625" style="15" customWidth="1"/>
    <col min="20" max="20" width="11.36328125" style="15" customWidth="1"/>
    <col min="21" max="21" width="0.6328125" style="15" customWidth="1"/>
    <col min="22" max="22" width="10.54296875" style="15" customWidth="1"/>
    <col min="23" max="23" width="10.453125" style="15" customWidth="1"/>
    <col min="24" max="24" width="1.08984375" style="15" customWidth="1"/>
    <col min="25" max="27" width="1.08984375" style="87" customWidth="1"/>
    <col min="28" max="28" width="14.81640625" style="87" customWidth="1"/>
    <col min="29" max="29" width="39.81640625" style="15" bestFit="1" customWidth="1"/>
    <col min="30" max="30" width="11" style="15" bestFit="1" customWidth="1"/>
    <col min="31" max="31" width="15.6328125" style="15" customWidth="1"/>
    <col min="32" max="32" width="18.6328125" style="15" customWidth="1"/>
    <col min="33" max="33" width="21.7265625" style="15" customWidth="1"/>
    <col min="34" max="34" width="10.90625" style="15" customWidth="1"/>
    <col min="35" max="35" width="11.90625" style="15" customWidth="1"/>
    <col min="36" max="43" width="8.7265625" style="15"/>
    <col min="44" max="47" width="8.81640625" style="15" bestFit="1" customWidth="1"/>
    <col min="48" max="16384" width="8.7265625" style="15"/>
  </cols>
  <sheetData>
    <row r="1" spans="1:46" x14ac:dyDescent="0.35">
      <c r="A1" s="14"/>
      <c r="B1" s="14"/>
      <c r="C1" s="16" t="s">
        <v>338</v>
      </c>
      <c r="D1" s="16"/>
      <c r="AC1" s="88" t="s">
        <v>594</v>
      </c>
      <c r="AD1" s="89"/>
    </row>
    <row r="2" spans="1:46" x14ac:dyDescent="0.35">
      <c r="A2" s="16"/>
      <c r="B2" s="16"/>
      <c r="C2" s="16"/>
      <c r="D2" s="16"/>
      <c r="F2" s="59"/>
      <c r="G2" s="60" t="s">
        <v>566</v>
      </c>
      <c r="H2" s="61"/>
      <c r="I2" s="90" t="s">
        <v>443</v>
      </c>
      <c r="J2" s="90"/>
      <c r="K2" s="61"/>
      <c r="L2" s="90" t="s">
        <v>444</v>
      </c>
      <c r="M2" s="90"/>
      <c r="N2" s="61"/>
      <c r="O2" s="90" t="s">
        <v>445</v>
      </c>
      <c r="P2" s="90"/>
      <c r="Q2" s="61"/>
      <c r="R2" s="91" t="s">
        <v>586</v>
      </c>
      <c r="S2" s="90" t="s">
        <v>473</v>
      </c>
      <c r="T2" s="90"/>
      <c r="U2" s="61"/>
      <c r="V2" s="90" t="s">
        <v>567</v>
      </c>
      <c r="W2" s="90"/>
      <c r="X2" s="61"/>
      <c r="Y2" s="92"/>
      <c r="Z2" s="92"/>
      <c r="AA2" s="92"/>
      <c r="AC2" s="88" t="str">
        <f>UPPER("statement of profit or loss and other comprehensive incomes")</f>
        <v>STATEMENT OF PROFIT OR LOSS AND OTHER COMPREHENSIVE INCOMES</v>
      </c>
      <c r="AD2" s="89"/>
    </row>
    <row r="3" spans="1:46" x14ac:dyDescent="0.35">
      <c r="A3" s="16" t="s">
        <v>339</v>
      </c>
      <c r="F3" s="59"/>
      <c r="G3" s="60"/>
      <c r="H3" s="61"/>
      <c r="I3" s="60" t="s">
        <v>119</v>
      </c>
      <c r="J3" s="60" t="s">
        <v>120</v>
      </c>
      <c r="K3" s="61"/>
      <c r="L3" s="60" t="s">
        <v>119</v>
      </c>
      <c r="M3" s="60" t="s">
        <v>120</v>
      </c>
      <c r="N3" s="61"/>
      <c r="O3" s="60" t="s">
        <v>119</v>
      </c>
      <c r="P3" s="60" t="s">
        <v>120</v>
      </c>
      <c r="Q3" s="61"/>
      <c r="R3" s="91"/>
      <c r="S3" s="60" t="s">
        <v>119</v>
      </c>
      <c r="T3" s="60" t="s">
        <v>120</v>
      </c>
      <c r="U3" s="61"/>
      <c r="V3" s="60" t="s">
        <v>119</v>
      </c>
      <c r="W3" s="60" t="s">
        <v>120</v>
      </c>
      <c r="X3" s="61"/>
      <c r="Y3" s="92"/>
      <c r="Z3" s="92"/>
      <c r="AA3" s="92"/>
      <c r="AC3" s="88" t="str">
        <f>UPPER(" for the year ended 31 March 2025.")</f>
        <v xml:space="preserve"> FOR THE YEAR ENDED 31 MARCH 2025.</v>
      </c>
      <c r="AD3" s="89"/>
    </row>
    <row r="4" spans="1:46" x14ac:dyDescent="0.35">
      <c r="A4" s="15" t="s">
        <v>340</v>
      </c>
      <c r="F4" s="59"/>
      <c r="G4" s="15" t="s">
        <v>2</v>
      </c>
      <c r="H4" s="59"/>
      <c r="I4" s="1"/>
      <c r="J4" s="1">
        <v>12490</v>
      </c>
      <c r="K4" s="59"/>
      <c r="N4" s="59"/>
      <c r="O4" s="57"/>
      <c r="P4" s="57">
        <f>J4+M4-I4-L4</f>
        <v>12490</v>
      </c>
      <c r="Q4" s="59"/>
      <c r="R4" s="87" t="s">
        <v>2</v>
      </c>
      <c r="S4" s="57"/>
      <c r="T4" s="57">
        <f>P4</f>
        <v>12490</v>
      </c>
      <c r="U4" s="59"/>
      <c r="X4" s="59"/>
      <c r="AD4" s="16" t="s">
        <v>593</v>
      </c>
      <c r="AP4" s="93"/>
      <c r="AQ4" s="93"/>
      <c r="AR4" s="93" t="s">
        <v>557</v>
      </c>
      <c r="AS4" s="93"/>
      <c r="AT4" s="93"/>
    </row>
    <row r="5" spans="1:46" x14ac:dyDescent="0.35">
      <c r="A5" s="28" t="s">
        <v>117</v>
      </c>
      <c r="B5" s="28"/>
      <c r="C5" s="28"/>
      <c r="D5" s="28"/>
      <c r="F5" s="59"/>
      <c r="G5" s="15" t="s">
        <v>3</v>
      </c>
      <c r="H5" s="59"/>
      <c r="I5" s="1">
        <v>9400</v>
      </c>
      <c r="J5" s="1"/>
      <c r="K5" s="59"/>
      <c r="N5" s="59"/>
      <c r="O5" s="57">
        <f t="shared" ref="O5:O43" si="0">I5+L5-J5-M5</f>
        <v>9400</v>
      </c>
      <c r="P5" s="57"/>
      <c r="Q5" s="59"/>
      <c r="R5" s="87" t="s">
        <v>405</v>
      </c>
      <c r="S5" s="57">
        <f>O5</f>
        <v>9400</v>
      </c>
      <c r="T5" s="57"/>
      <c r="U5" s="59"/>
      <c r="X5" s="59"/>
      <c r="AC5" s="15" t="s">
        <v>2</v>
      </c>
      <c r="AD5" s="94">
        <f>P4</f>
        <v>12490</v>
      </c>
      <c r="AE5" s="29"/>
      <c r="AF5" s="29"/>
      <c r="AG5" s="29"/>
      <c r="AH5" s="29"/>
      <c r="AI5" s="29"/>
      <c r="AJ5" s="29"/>
      <c r="AK5" s="29"/>
      <c r="AL5" s="29"/>
      <c r="AM5" s="29"/>
      <c r="AN5" s="29"/>
      <c r="AP5" s="67"/>
      <c r="AQ5" s="67"/>
      <c r="AR5" s="95"/>
      <c r="AS5" s="15" t="s">
        <v>577</v>
      </c>
      <c r="AT5" s="15">
        <v>2000</v>
      </c>
    </row>
    <row r="6" spans="1:46" ht="20.149999999999999" customHeight="1" x14ac:dyDescent="0.35">
      <c r="F6" s="59"/>
      <c r="G6" s="15" t="s">
        <v>342</v>
      </c>
      <c r="H6" s="59"/>
      <c r="I6" s="1">
        <v>918</v>
      </c>
      <c r="J6" s="1"/>
      <c r="K6" s="59"/>
      <c r="N6" s="59"/>
      <c r="O6" s="57">
        <f t="shared" si="0"/>
        <v>918</v>
      </c>
      <c r="P6" s="57"/>
      <c r="Q6" s="59"/>
      <c r="R6" s="15" t="s">
        <v>342</v>
      </c>
      <c r="S6" s="57">
        <f t="shared" ref="S6:S7" si="1">O6</f>
        <v>918</v>
      </c>
      <c r="T6" s="57"/>
      <c r="U6" s="59"/>
      <c r="X6" s="59"/>
      <c r="AC6" s="15" t="s">
        <v>405</v>
      </c>
      <c r="AD6" s="94">
        <f>O5+O29</f>
        <v>9451.25</v>
      </c>
      <c r="AE6" s="57"/>
      <c r="AF6" s="39">
        <f>AD6-9410.25</f>
        <v>41</v>
      </c>
      <c r="AG6" s="57"/>
      <c r="AH6" s="57"/>
      <c r="AI6" s="57"/>
      <c r="AJ6" s="57"/>
      <c r="AK6" s="57"/>
      <c r="AL6" s="57"/>
      <c r="AM6" s="57"/>
      <c r="AN6" s="57"/>
      <c r="AP6" s="96"/>
      <c r="AQ6" s="96"/>
      <c r="AR6" s="97"/>
      <c r="AS6" s="15" t="s">
        <v>578</v>
      </c>
      <c r="AT6" s="15">
        <f>2*100</f>
        <v>200</v>
      </c>
    </row>
    <row r="7" spans="1:46" ht="20.149999999999999" customHeight="1" x14ac:dyDescent="0.35">
      <c r="C7" s="27" t="s">
        <v>341</v>
      </c>
      <c r="D7" s="27" t="s">
        <v>341</v>
      </c>
      <c r="F7" s="59"/>
      <c r="G7" s="15" t="s">
        <v>343</v>
      </c>
      <c r="H7" s="59"/>
      <c r="I7" s="1">
        <v>1602</v>
      </c>
      <c r="J7" s="1"/>
      <c r="K7" s="59"/>
      <c r="N7" s="59"/>
      <c r="O7" s="57">
        <f t="shared" si="0"/>
        <v>1602</v>
      </c>
      <c r="P7" s="57"/>
      <c r="Q7" s="59"/>
      <c r="R7" s="15" t="s">
        <v>343</v>
      </c>
      <c r="S7" s="57">
        <f t="shared" si="1"/>
        <v>1602</v>
      </c>
      <c r="T7" s="57"/>
      <c r="U7" s="59"/>
      <c r="X7" s="59"/>
      <c r="AC7" s="16" t="s">
        <v>478</v>
      </c>
      <c r="AD7" s="98">
        <f>AD5-AD6</f>
        <v>3038.75</v>
      </c>
      <c r="AE7" s="99"/>
      <c r="AF7" s="99"/>
      <c r="AG7" s="99"/>
      <c r="AH7" s="99"/>
      <c r="AI7" s="99"/>
      <c r="AJ7" s="99"/>
      <c r="AK7" s="99"/>
      <c r="AL7" s="99"/>
      <c r="AM7" s="99"/>
      <c r="AN7" s="99"/>
      <c r="AP7" s="96" t="s">
        <v>581</v>
      </c>
      <c r="AQ7" s="96"/>
      <c r="AR7" s="97">
        <v>2200</v>
      </c>
    </row>
    <row r="8" spans="1:46" ht="20.149999999999999" customHeight="1" x14ac:dyDescent="0.35">
      <c r="A8" s="15" t="s">
        <v>2</v>
      </c>
      <c r="C8" s="39"/>
      <c r="D8" s="39">
        <v>12490</v>
      </c>
      <c r="F8" s="59"/>
      <c r="G8" s="15" t="s">
        <v>273</v>
      </c>
      <c r="H8" s="59"/>
      <c r="I8" s="1"/>
      <c r="J8" s="1">
        <v>120</v>
      </c>
      <c r="K8" s="59"/>
      <c r="N8" s="59"/>
      <c r="O8" s="57"/>
      <c r="P8" s="57">
        <f t="shared" ref="P8:P43" si="2">J8+M8-I8-L8</f>
        <v>120</v>
      </c>
      <c r="Q8" s="59"/>
      <c r="R8" s="87" t="s">
        <v>411</v>
      </c>
      <c r="S8" s="57"/>
      <c r="T8" s="57">
        <f>P8</f>
        <v>120</v>
      </c>
      <c r="U8" s="59"/>
      <c r="X8" s="59"/>
      <c r="AC8" s="15" t="s">
        <v>553</v>
      </c>
      <c r="AD8" s="94">
        <f>P8+P33</f>
        <v>160</v>
      </c>
      <c r="AE8" s="57"/>
      <c r="AF8" s="57"/>
      <c r="AG8" s="57"/>
      <c r="AH8" s="57"/>
      <c r="AI8" s="57"/>
      <c r="AJ8" s="57"/>
      <c r="AK8" s="57"/>
      <c r="AL8" s="57"/>
      <c r="AM8" s="57"/>
      <c r="AN8" s="57"/>
      <c r="AP8" s="96"/>
      <c r="AQ8" s="96"/>
      <c r="AR8" s="97">
        <f>SUM(AR5:AR7)</f>
        <v>2200</v>
      </c>
      <c r="AT8" s="15">
        <f>SUM(AT5:AT7)</f>
        <v>2200</v>
      </c>
    </row>
    <row r="9" spans="1:46" ht="20.149999999999999" customHeight="1" x14ac:dyDescent="0.35">
      <c r="A9" s="15" t="s">
        <v>3</v>
      </c>
      <c r="C9" s="39">
        <v>9400</v>
      </c>
      <c r="D9" s="39"/>
      <c r="F9" s="59"/>
      <c r="G9" s="15" t="s">
        <v>573</v>
      </c>
      <c r="H9" s="59"/>
      <c r="I9" s="1">
        <v>64</v>
      </c>
      <c r="J9" s="1"/>
      <c r="K9" s="59"/>
      <c r="L9" s="15">
        <v>82</v>
      </c>
      <c r="N9" s="59"/>
      <c r="O9" s="57">
        <f t="shared" si="0"/>
        <v>146</v>
      </c>
      <c r="P9" s="57"/>
      <c r="Q9" s="59"/>
      <c r="R9" s="87" t="s">
        <v>587</v>
      </c>
      <c r="S9" s="57">
        <f>O9</f>
        <v>146</v>
      </c>
      <c r="T9" s="57"/>
      <c r="U9" s="59"/>
      <c r="X9" s="59"/>
      <c r="AC9" s="16" t="s">
        <v>480</v>
      </c>
      <c r="AD9" s="98">
        <f>AD7+AD8</f>
        <v>3198.75</v>
      </c>
      <c r="AE9" s="99"/>
      <c r="AF9" s="99"/>
      <c r="AG9" s="99"/>
      <c r="AH9" s="99"/>
      <c r="AI9" s="99"/>
      <c r="AJ9" s="99"/>
      <c r="AK9" s="99"/>
      <c r="AL9" s="99"/>
      <c r="AM9" s="99"/>
      <c r="AN9" s="99"/>
      <c r="AP9" s="96"/>
      <c r="AQ9" s="96"/>
      <c r="AR9" s="97"/>
    </row>
    <row r="10" spans="1:46" ht="20.149999999999999" customHeight="1" x14ac:dyDescent="0.35">
      <c r="A10" s="15" t="s">
        <v>342</v>
      </c>
      <c r="C10" s="39">
        <v>918</v>
      </c>
      <c r="D10" s="39"/>
      <c r="F10" s="59"/>
      <c r="G10" s="15" t="s">
        <v>346</v>
      </c>
      <c r="H10" s="59"/>
      <c r="I10" s="1">
        <v>5030</v>
      </c>
      <c r="J10" s="1"/>
      <c r="K10" s="59"/>
      <c r="L10" s="15">
        <v>400</v>
      </c>
      <c r="N10" s="59"/>
      <c r="O10" s="57">
        <f t="shared" si="0"/>
        <v>5430</v>
      </c>
      <c r="P10" s="57"/>
      <c r="Q10" s="59"/>
      <c r="R10" s="87" t="s">
        <v>487</v>
      </c>
      <c r="S10" s="57"/>
      <c r="T10" s="57"/>
      <c r="U10" s="59"/>
      <c r="V10" s="57">
        <f>O10</f>
        <v>5430</v>
      </c>
      <c r="X10" s="59"/>
      <c r="AD10" s="94"/>
    </row>
    <row r="11" spans="1:46" ht="20.149999999999999" customHeight="1" x14ac:dyDescent="0.35">
      <c r="A11" s="15" t="s">
        <v>343</v>
      </c>
      <c r="C11" s="39">
        <v>1602</v>
      </c>
      <c r="D11" s="39"/>
      <c r="F11" s="59"/>
      <c r="G11" s="15" t="s">
        <v>11</v>
      </c>
      <c r="H11" s="59"/>
      <c r="I11" s="1">
        <v>372</v>
      </c>
      <c r="J11" s="1"/>
      <c r="K11" s="59"/>
      <c r="N11" s="59"/>
      <c r="O11" s="57">
        <f t="shared" si="0"/>
        <v>372</v>
      </c>
      <c r="P11" s="57"/>
      <c r="Q11" s="59"/>
      <c r="R11" s="87" t="s">
        <v>487</v>
      </c>
      <c r="S11" s="57"/>
      <c r="T11" s="57"/>
      <c r="U11" s="59"/>
      <c r="V11" s="57">
        <f>O11</f>
        <v>372</v>
      </c>
      <c r="X11" s="59"/>
      <c r="AC11" s="96" t="s">
        <v>502</v>
      </c>
      <c r="AD11" s="94">
        <f>O7+O28</f>
        <v>1753.5</v>
      </c>
      <c r="AE11" s="57"/>
      <c r="AF11" s="57"/>
      <c r="AG11" s="57"/>
      <c r="AH11" s="57"/>
      <c r="AI11" s="57"/>
      <c r="AJ11" s="57"/>
      <c r="AK11" s="57"/>
      <c r="AL11" s="57"/>
      <c r="AM11" s="57"/>
      <c r="AN11" s="57"/>
    </row>
    <row r="12" spans="1:46" ht="20.149999999999999" customHeight="1" x14ac:dyDescent="0.35">
      <c r="A12" s="16" t="s">
        <v>344</v>
      </c>
      <c r="B12" s="40"/>
      <c r="C12" s="39"/>
      <c r="D12" s="39"/>
      <c r="F12" s="59"/>
      <c r="G12" s="15" t="s">
        <v>569</v>
      </c>
      <c r="H12" s="59"/>
      <c r="I12" s="1"/>
      <c r="J12" s="1">
        <v>606</v>
      </c>
      <c r="K12" s="59"/>
      <c r="M12" s="100">
        <v>151.5</v>
      </c>
      <c r="N12" s="59"/>
      <c r="O12" s="57"/>
      <c r="P12" s="57">
        <f t="shared" si="2"/>
        <v>757.5</v>
      </c>
      <c r="Q12" s="59"/>
      <c r="R12" s="87" t="s">
        <v>487</v>
      </c>
      <c r="S12" s="57"/>
      <c r="T12" s="57"/>
      <c r="U12" s="59"/>
      <c r="W12" s="57">
        <f>P12</f>
        <v>757.5</v>
      </c>
      <c r="X12" s="59"/>
      <c r="AC12" s="96" t="s">
        <v>503</v>
      </c>
      <c r="AD12" s="94">
        <f>O6+O34+O35</f>
        <v>943</v>
      </c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P12" s="93"/>
      <c r="AQ12" s="93"/>
      <c r="AR12" s="93" t="s">
        <v>576</v>
      </c>
      <c r="AS12" s="93"/>
      <c r="AT12" s="93"/>
    </row>
    <row r="13" spans="1:46" ht="20.149999999999999" customHeight="1" x14ac:dyDescent="0.35">
      <c r="A13" s="15" t="s">
        <v>273</v>
      </c>
      <c r="B13" s="41"/>
      <c r="C13" s="39"/>
      <c r="D13" s="39">
        <v>120</v>
      </c>
      <c r="F13" s="59"/>
      <c r="G13" s="15" t="s">
        <v>568</v>
      </c>
      <c r="H13" s="59"/>
      <c r="I13" s="1"/>
      <c r="J13" s="1">
        <v>167</v>
      </c>
      <c r="K13" s="59"/>
      <c r="M13" s="15">
        <v>51.25</v>
      </c>
      <c r="N13" s="59"/>
      <c r="O13" s="57"/>
      <c r="P13" s="57">
        <f t="shared" si="2"/>
        <v>218.25</v>
      </c>
      <c r="Q13" s="59"/>
      <c r="R13" s="87" t="s">
        <v>487</v>
      </c>
      <c r="S13" s="57"/>
      <c r="T13" s="57"/>
      <c r="U13" s="59"/>
      <c r="W13" s="57">
        <f>P13</f>
        <v>218.25</v>
      </c>
      <c r="X13" s="59"/>
      <c r="AC13" s="96" t="s">
        <v>246</v>
      </c>
      <c r="AD13" s="94">
        <f>O9</f>
        <v>146</v>
      </c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P13" s="67"/>
      <c r="AQ13" s="67"/>
      <c r="AR13" s="95"/>
      <c r="AS13" s="15" t="s">
        <v>577</v>
      </c>
      <c r="AT13" s="15">
        <v>43</v>
      </c>
    </row>
    <row r="14" spans="1:46" ht="20.149999999999999" customHeight="1" x14ac:dyDescent="0.35">
      <c r="A14" s="15" t="s">
        <v>345</v>
      </c>
      <c r="B14" s="42"/>
      <c r="C14" s="39">
        <v>64</v>
      </c>
      <c r="D14" s="39"/>
      <c r="F14" s="59"/>
      <c r="G14" s="15" t="s">
        <v>348</v>
      </c>
      <c r="H14" s="59"/>
      <c r="I14" s="1">
        <v>2400</v>
      </c>
      <c r="J14" s="1"/>
      <c r="K14" s="59"/>
      <c r="L14" s="15">
        <v>40</v>
      </c>
      <c r="N14" s="59"/>
      <c r="O14" s="57">
        <f t="shared" si="0"/>
        <v>2440</v>
      </c>
      <c r="P14" s="57"/>
      <c r="Q14" s="59"/>
      <c r="R14" s="87" t="s">
        <v>488</v>
      </c>
      <c r="S14" s="57"/>
      <c r="T14" s="57"/>
      <c r="U14" s="59"/>
      <c r="V14" s="57">
        <f>O14</f>
        <v>2440</v>
      </c>
      <c r="X14" s="59"/>
      <c r="AC14" s="16" t="s">
        <v>482</v>
      </c>
      <c r="AD14" s="98">
        <f>AD9-AD11-AD12-AD13</f>
        <v>356.25</v>
      </c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P14" s="96"/>
      <c r="AQ14" s="96"/>
      <c r="AR14" s="97"/>
      <c r="AS14" s="15" t="s">
        <v>578</v>
      </c>
      <c r="AT14" s="15">
        <f>2*20</f>
        <v>40</v>
      </c>
    </row>
    <row r="15" spans="1:46" ht="20.149999999999999" customHeight="1" x14ac:dyDescent="0.35">
      <c r="A15" s="15" t="s">
        <v>346</v>
      </c>
      <c r="B15" s="41"/>
      <c r="C15" s="39">
        <v>5030</v>
      </c>
      <c r="D15" s="39"/>
      <c r="F15" s="59"/>
      <c r="G15" s="15" t="s">
        <v>349</v>
      </c>
      <c r="H15" s="59"/>
      <c r="I15" s="1">
        <v>485</v>
      </c>
      <c r="J15" s="1"/>
      <c r="K15" s="59"/>
      <c r="N15" s="59"/>
      <c r="O15" s="57">
        <f t="shared" si="0"/>
        <v>485</v>
      </c>
      <c r="P15" s="57"/>
      <c r="Q15" s="59"/>
      <c r="R15" s="87" t="s">
        <v>428</v>
      </c>
      <c r="S15" s="57"/>
      <c r="T15" s="57"/>
      <c r="U15" s="59"/>
      <c r="V15" s="57">
        <f t="shared" ref="V15:V16" si="3">O15</f>
        <v>485</v>
      </c>
      <c r="X15" s="59"/>
      <c r="AC15" s="15" t="s">
        <v>554</v>
      </c>
      <c r="AD15" s="94">
        <f>O30</f>
        <v>98</v>
      </c>
      <c r="AP15" s="96" t="s">
        <v>580</v>
      </c>
      <c r="AQ15" s="96"/>
      <c r="AR15" s="97">
        <v>83</v>
      </c>
    </row>
    <row r="16" spans="1:46" ht="20.149999999999999" customHeight="1" x14ac:dyDescent="0.35">
      <c r="A16" s="15" t="s">
        <v>11</v>
      </c>
      <c r="B16" s="41"/>
      <c r="C16" s="39">
        <v>372</v>
      </c>
      <c r="D16" s="39"/>
      <c r="F16" s="59"/>
      <c r="G16" s="15" t="s">
        <v>51</v>
      </c>
      <c r="H16" s="59"/>
      <c r="I16" s="1">
        <v>933</v>
      </c>
      <c r="J16" s="1"/>
      <c r="K16" s="59"/>
      <c r="M16" s="15">
        <v>15</v>
      </c>
      <c r="N16" s="59"/>
      <c r="O16" s="57">
        <f t="shared" si="0"/>
        <v>918</v>
      </c>
      <c r="P16" s="57"/>
      <c r="Q16" s="59"/>
      <c r="R16" s="87" t="s">
        <v>51</v>
      </c>
      <c r="S16" s="57"/>
      <c r="T16" s="57"/>
      <c r="U16" s="59"/>
      <c r="V16" s="57">
        <f t="shared" si="3"/>
        <v>918</v>
      </c>
      <c r="X16" s="59"/>
      <c r="AC16" s="16" t="s">
        <v>485</v>
      </c>
      <c r="AD16" s="98">
        <f>AD14-AD15</f>
        <v>258.25</v>
      </c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P16" s="96"/>
      <c r="AQ16" s="96"/>
      <c r="AR16" s="97">
        <f>SUM(AR13:AR15)</f>
        <v>83</v>
      </c>
      <c r="AT16" s="15">
        <f>SUM(AT13:AT15)</f>
        <v>83</v>
      </c>
    </row>
    <row r="17" spans="1:47" ht="20.149999999999999" customHeight="1" x14ac:dyDescent="0.35">
      <c r="A17" s="15" t="s">
        <v>347</v>
      </c>
      <c r="B17" s="41"/>
      <c r="C17" s="39"/>
      <c r="D17" s="39"/>
      <c r="F17" s="59"/>
      <c r="G17" s="15" t="s">
        <v>350</v>
      </c>
      <c r="H17" s="59"/>
      <c r="I17" s="1"/>
      <c r="J17" s="1">
        <v>58</v>
      </c>
      <c r="K17" s="59"/>
      <c r="M17" s="15">
        <v>10</v>
      </c>
      <c r="N17" s="59"/>
      <c r="O17" s="57"/>
      <c r="P17" s="57">
        <f t="shared" si="2"/>
        <v>68</v>
      </c>
      <c r="Q17" s="59"/>
      <c r="R17" s="87" t="s">
        <v>51</v>
      </c>
      <c r="S17" s="57"/>
      <c r="T17" s="57"/>
      <c r="U17" s="59"/>
      <c r="W17" s="57">
        <f>P17</f>
        <v>68</v>
      </c>
      <c r="X17" s="59"/>
      <c r="AC17" s="16" t="s">
        <v>504</v>
      </c>
      <c r="AD17" s="94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P17" s="96"/>
      <c r="AQ17" s="96"/>
      <c r="AR17" s="97"/>
    </row>
    <row r="18" spans="1:47" ht="20.149999999999999" customHeight="1" x14ac:dyDescent="0.35">
      <c r="B18" s="41" t="s">
        <v>265</v>
      </c>
      <c r="C18" s="39"/>
      <c r="D18" s="39">
        <v>606</v>
      </c>
      <c r="F18" s="59"/>
      <c r="G18" s="15" t="s">
        <v>351</v>
      </c>
      <c r="H18" s="59"/>
      <c r="I18" s="1">
        <v>119</v>
      </c>
      <c r="J18" s="1"/>
      <c r="K18" s="59"/>
      <c r="N18" s="59"/>
      <c r="O18" s="57">
        <f t="shared" si="0"/>
        <v>119</v>
      </c>
      <c r="P18" s="57"/>
      <c r="Q18" s="59"/>
      <c r="R18" s="87" t="s">
        <v>490</v>
      </c>
      <c r="S18" s="57"/>
      <c r="T18" s="57"/>
      <c r="U18" s="59"/>
      <c r="V18" s="57">
        <f>O18</f>
        <v>119</v>
      </c>
      <c r="X18" s="59"/>
      <c r="AC18" s="15" t="s">
        <v>589</v>
      </c>
      <c r="AD18" s="98">
        <v>400</v>
      </c>
      <c r="AE18" s="99"/>
      <c r="AF18" s="99"/>
      <c r="AG18" s="99"/>
      <c r="AH18" s="99"/>
      <c r="AI18" s="99"/>
      <c r="AJ18" s="99"/>
      <c r="AK18" s="99"/>
      <c r="AL18" s="99"/>
      <c r="AM18" s="99"/>
      <c r="AN18" s="99"/>
    </row>
    <row r="19" spans="1:47" ht="20.149999999999999" customHeight="1" x14ac:dyDescent="0.35">
      <c r="B19" s="41" t="s">
        <v>130</v>
      </c>
      <c r="C19" s="39"/>
      <c r="D19" s="39">
        <v>167</v>
      </c>
      <c r="F19" s="59"/>
      <c r="G19" s="15" t="s">
        <v>169</v>
      </c>
      <c r="H19" s="59"/>
      <c r="I19" s="1"/>
      <c r="J19" s="1">
        <v>2000</v>
      </c>
      <c r="K19" s="59"/>
      <c r="M19" s="15">
        <v>200</v>
      </c>
      <c r="N19" s="59"/>
      <c r="O19" s="57"/>
      <c r="P19" s="57">
        <f t="shared" si="2"/>
        <v>2200</v>
      </c>
      <c r="Q19" s="59"/>
      <c r="R19" s="87" t="s">
        <v>588</v>
      </c>
      <c r="S19" s="57"/>
      <c r="T19" s="57"/>
      <c r="U19" s="59"/>
      <c r="W19" s="57">
        <f>P19</f>
        <v>2200</v>
      </c>
      <c r="X19" s="59"/>
      <c r="AC19" s="15" t="s">
        <v>590</v>
      </c>
      <c r="AD19" s="94">
        <v>120</v>
      </c>
    </row>
    <row r="20" spans="1:47" ht="20.149999999999999" customHeight="1" x14ac:dyDescent="0.35">
      <c r="A20" s="15" t="s">
        <v>348</v>
      </c>
      <c r="B20" s="42"/>
      <c r="C20" s="39">
        <v>2400</v>
      </c>
      <c r="D20" s="39"/>
      <c r="F20" s="59"/>
      <c r="G20" s="15" t="s">
        <v>8</v>
      </c>
      <c r="H20" s="59"/>
      <c r="I20" s="1"/>
      <c r="J20" s="1">
        <v>43</v>
      </c>
      <c r="K20" s="59"/>
      <c r="M20" s="15">
        <v>40</v>
      </c>
      <c r="N20" s="59"/>
      <c r="O20" s="57"/>
      <c r="P20" s="57">
        <f t="shared" si="2"/>
        <v>83</v>
      </c>
      <c r="Q20" s="59"/>
      <c r="R20" s="87" t="s">
        <v>588</v>
      </c>
      <c r="S20" s="57"/>
      <c r="T20" s="57"/>
      <c r="U20" s="59"/>
      <c r="W20" s="57">
        <f t="shared" ref="W20:W22" si="4">P20</f>
        <v>83</v>
      </c>
      <c r="X20" s="59"/>
      <c r="AC20" s="16" t="s">
        <v>555</v>
      </c>
      <c r="AD20" s="94">
        <f>AD18-AD19+AD16</f>
        <v>538.25</v>
      </c>
      <c r="AQ20" s="93"/>
      <c r="AR20" s="93"/>
      <c r="AS20" s="93" t="s">
        <v>575</v>
      </c>
      <c r="AT20" s="93"/>
      <c r="AU20" s="93"/>
    </row>
    <row r="21" spans="1:47" ht="20.149999999999999" customHeight="1" x14ac:dyDescent="0.35">
      <c r="A21" s="15" t="s">
        <v>349</v>
      </c>
      <c r="B21" s="41"/>
      <c r="C21" s="39">
        <v>485</v>
      </c>
      <c r="D21" s="39"/>
      <c r="F21" s="59"/>
      <c r="G21" s="15" t="s">
        <v>352</v>
      </c>
      <c r="H21" s="59"/>
      <c r="I21" s="1"/>
      <c r="J21" s="1">
        <v>313</v>
      </c>
      <c r="K21" s="59"/>
      <c r="L21" s="15">
        <f>30%*M21</f>
        <v>120</v>
      </c>
      <c r="M21" s="15">
        <v>400</v>
      </c>
      <c r="N21" s="59"/>
      <c r="O21" s="57"/>
      <c r="P21" s="57">
        <f t="shared" si="2"/>
        <v>593</v>
      </c>
      <c r="Q21" s="59"/>
      <c r="R21" s="87" t="s">
        <v>588</v>
      </c>
      <c r="S21" s="57"/>
      <c r="T21" s="57"/>
      <c r="U21" s="59"/>
      <c r="W21" s="57">
        <f t="shared" si="4"/>
        <v>593</v>
      </c>
      <c r="X21" s="59"/>
      <c r="AQ21" s="67" t="s">
        <v>557</v>
      </c>
      <c r="AR21" s="67"/>
      <c r="AS21" s="95">
        <v>200</v>
      </c>
      <c r="AT21" s="15" t="s">
        <v>577</v>
      </c>
      <c r="AU21" s="15">
        <v>240</v>
      </c>
    </row>
    <row r="22" spans="1:47" ht="20.149999999999999" customHeight="1" x14ac:dyDescent="0.35">
      <c r="A22" s="15" t="s">
        <v>51</v>
      </c>
      <c r="B22" s="42"/>
      <c r="C22" s="39">
        <v>933</v>
      </c>
      <c r="D22" s="39"/>
      <c r="F22" s="59"/>
      <c r="G22" s="15" t="s">
        <v>493</v>
      </c>
      <c r="H22" s="59"/>
      <c r="I22" s="1"/>
      <c r="J22" s="1">
        <v>2749</v>
      </c>
      <c r="K22" s="59"/>
      <c r="N22" s="59"/>
      <c r="O22" s="57"/>
      <c r="P22" s="57">
        <f t="shared" si="2"/>
        <v>2749</v>
      </c>
      <c r="Q22" s="59"/>
      <c r="R22" s="87" t="s">
        <v>588</v>
      </c>
      <c r="S22" s="57"/>
      <c r="T22" s="57"/>
      <c r="U22" s="59"/>
      <c r="W22" s="57">
        <f t="shared" si="4"/>
        <v>2749</v>
      </c>
      <c r="X22" s="59"/>
      <c r="AC22" s="88" t="s">
        <v>594</v>
      </c>
      <c r="AD22" s="88"/>
      <c r="AE22" s="88"/>
      <c r="AF22" s="88"/>
      <c r="AG22" s="88"/>
      <c r="AH22" s="88"/>
      <c r="AQ22" s="96" t="s">
        <v>579</v>
      </c>
      <c r="AR22" s="96"/>
      <c r="AS22" s="97">
        <v>40</v>
      </c>
    </row>
    <row r="23" spans="1:47" ht="20.149999999999999" customHeight="1" x14ac:dyDescent="0.35">
      <c r="A23" s="15" t="s">
        <v>350</v>
      </c>
      <c r="B23" s="42"/>
      <c r="C23" s="39"/>
      <c r="D23" s="43">
        <v>58</v>
      </c>
      <c r="F23" s="59"/>
      <c r="G23" s="15" t="s">
        <v>354</v>
      </c>
      <c r="H23" s="59"/>
      <c r="I23" s="1">
        <v>100</v>
      </c>
      <c r="J23" s="1"/>
      <c r="K23" s="59"/>
      <c r="N23" s="59"/>
      <c r="O23" s="57">
        <f t="shared" si="0"/>
        <v>100</v>
      </c>
      <c r="P23" s="57"/>
      <c r="Q23" s="59"/>
      <c r="R23" s="87" t="s">
        <v>588</v>
      </c>
      <c r="S23" s="57">
        <f>O23</f>
        <v>100</v>
      </c>
      <c r="T23" s="57"/>
      <c r="U23" s="59"/>
      <c r="X23" s="59"/>
      <c r="AC23" s="88" t="s">
        <v>556</v>
      </c>
      <c r="AD23" s="88"/>
      <c r="AE23" s="88"/>
      <c r="AF23" s="88"/>
      <c r="AG23" s="88"/>
      <c r="AH23" s="88"/>
      <c r="AQ23" s="96"/>
      <c r="AR23" s="96"/>
      <c r="AS23" s="97">
        <f>SUM(AS21:AS22)</f>
        <v>240</v>
      </c>
      <c r="AU23" s="15">
        <f>SUM(AU21:AU22)</f>
        <v>240</v>
      </c>
    </row>
    <row r="24" spans="1:47" ht="20.149999999999999" customHeight="1" x14ac:dyDescent="0.35">
      <c r="A24" s="15" t="s">
        <v>351</v>
      </c>
      <c r="B24" s="41"/>
      <c r="C24" s="39">
        <v>119</v>
      </c>
      <c r="D24" s="43"/>
      <c r="F24" s="59"/>
      <c r="G24" s="15" t="s">
        <v>355</v>
      </c>
      <c r="H24" s="59"/>
      <c r="I24" s="1"/>
      <c r="J24" s="1">
        <v>1825</v>
      </c>
      <c r="K24" s="59"/>
      <c r="N24" s="59"/>
      <c r="O24" s="57"/>
      <c r="P24" s="57">
        <f t="shared" si="2"/>
        <v>1825</v>
      </c>
      <c r="Q24" s="59"/>
      <c r="R24" s="15" t="s">
        <v>355</v>
      </c>
      <c r="S24" s="57"/>
      <c r="T24" s="57"/>
      <c r="U24" s="59"/>
      <c r="W24" s="57">
        <f>P24</f>
        <v>1825</v>
      </c>
      <c r="X24" s="59"/>
      <c r="AC24" s="88" t="str">
        <f>UPPER(" as at 31 March 2025.")</f>
        <v xml:space="preserve"> AS AT 31 MARCH 2025.</v>
      </c>
      <c r="AD24" s="88"/>
      <c r="AE24" s="88"/>
      <c r="AF24" s="88"/>
      <c r="AG24" s="88"/>
      <c r="AH24" s="88"/>
      <c r="AQ24" s="96"/>
      <c r="AR24" s="96"/>
      <c r="AS24" s="97"/>
    </row>
    <row r="25" spans="1:47" ht="20.149999999999999" customHeight="1" x14ac:dyDescent="0.35">
      <c r="A25" s="15" t="s">
        <v>169</v>
      </c>
      <c r="B25" s="42"/>
      <c r="C25" s="39"/>
      <c r="D25" s="43">
        <v>2000</v>
      </c>
      <c r="F25" s="59"/>
      <c r="G25" s="15" t="s">
        <v>356</v>
      </c>
      <c r="H25" s="59"/>
      <c r="I25" s="1"/>
      <c r="J25" s="1">
        <v>40</v>
      </c>
      <c r="K25" s="59"/>
      <c r="M25" s="15">
        <f>20+120</f>
        <v>140</v>
      </c>
      <c r="N25" s="59"/>
      <c r="O25" s="57"/>
      <c r="P25" s="57">
        <f t="shared" si="2"/>
        <v>180</v>
      </c>
      <c r="Q25" s="59"/>
      <c r="R25" s="15" t="s">
        <v>356</v>
      </c>
      <c r="S25" s="57"/>
      <c r="T25" s="57"/>
      <c r="U25" s="59"/>
      <c r="W25" s="57">
        <f>P25</f>
        <v>180</v>
      </c>
      <c r="X25" s="59"/>
      <c r="AC25" s="60" t="s">
        <v>262</v>
      </c>
      <c r="AD25" s="60" t="s">
        <v>557</v>
      </c>
      <c r="AE25" s="60" t="s">
        <v>8</v>
      </c>
      <c r="AF25" s="60" t="s">
        <v>493</v>
      </c>
      <c r="AG25" s="60" t="s">
        <v>591</v>
      </c>
      <c r="AH25" s="60" t="s">
        <v>538</v>
      </c>
      <c r="AQ25" s="96"/>
      <c r="AR25" s="96"/>
      <c r="AS25" s="97"/>
    </row>
    <row r="26" spans="1:47" ht="20.149999999999999" customHeight="1" x14ac:dyDescent="0.35">
      <c r="A26" s="15" t="s">
        <v>8</v>
      </c>
      <c r="B26" s="44"/>
      <c r="C26" s="39"/>
      <c r="D26" s="43">
        <v>43</v>
      </c>
      <c r="E26" s="15" t="s">
        <v>572</v>
      </c>
      <c r="F26" s="59"/>
      <c r="G26" s="15" t="s">
        <v>357</v>
      </c>
      <c r="H26" s="59"/>
      <c r="I26" s="1"/>
      <c r="J26" s="1">
        <v>772</v>
      </c>
      <c r="K26" s="59"/>
      <c r="N26" s="59"/>
      <c r="O26" s="57"/>
      <c r="P26" s="57">
        <f t="shared" si="2"/>
        <v>772</v>
      </c>
      <c r="Q26" s="59"/>
      <c r="R26" s="15" t="s">
        <v>357</v>
      </c>
      <c r="S26" s="57"/>
      <c r="T26" s="57"/>
      <c r="U26" s="59"/>
      <c r="W26" s="57">
        <f>P26</f>
        <v>772</v>
      </c>
      <c r="X26" s="59"/>
      <c r="AC26" s="80" t="s">
        <v>558</v>
      </c>
      <c r="AD26" s="101">
        <f>J19</f>
        <v>2000</v>
      </c>
      <c r="AE26" s="101">
        <f>J20</f>
        <v>43</v>
      </c>
      <c r="AF26" s="101">
        <f>J22</f>
        <v>2749</v>
      </c>
      <c r="AG26" s="102">
        <f>J21</f>
        <v>313</v>
      </c>
      <c r="AH26" s="101">
        <f ca="1">SUM(AD26:AH26)</f>
        <v>5105</v>
      </c>
    </row>
    <row r="27" spans="1:47" ht="20.149999999999999" customHeight="1" x14ac:dyDescent="0.35">
      <c r="A27" s="15" t="s">
        <v>352</v>
      </c>
      <c r="C27" s="39"/>
      <c r="D27" s="43">
        <v>313</v>
      </c>
      <c r="F27" s="59"/>
      <c r="G27" s="15" t="s">
        <v>358</v>
      </c>
      <c r="H27" s="59"/>
      <c r="I27" s="1"/>
      <c r="J27" s="1">
        <v>240</v>
      </c>
      <c r="K27" s="59"/>
      <c r="L27" s="15">
        <f>200+40</f>
        <v>240</v>
      </c>
      <c r="N27" s="59"/>
      <c r="O27" s="57"/>
      <c r="P27" s="57">
        <f t="shared" si="2"/>
        <v>0</v>
      </c>
      <c r="Q27" s="59"/>
      <c r="S27" s="57"/>
      <c r="T27" s="57"/>
      <c r="U27" s="59"/>
      <c r="X27" s="59"/>
      <c r="AC27" s="80" t="s">
        <v>485</v>
      </c>
      <c r="AD27" s="80"/>
      <c r="AE27" s="80"/>
      <c r="AF27" s="101">
        <f>AD16</f>
        <v>258.25</v>
      </c>
      <c r="AG27" s="80"/>
      <c r="AH27" s="101">
        <f ca="1">SUM(AD27:AH27)</f>
        <v>258.25</v>
      </c>
    </row>
    <row r="28" spans="1:47" ht="20.149999999999999" customHeight="1" x14ac:dyDescent="0.35">
      <c r="A28" s="15" t="s">
        <v>353</v>
      </c>
      <c r="C28" s="39"/>
      <c r="D28" s="43">
        <f>2807-58</f>
        <v>2749</v>
      </c>
      <c r="F28" s="59"/>
      <c r="G28" s="15" t="s">
        <v>570</v>
      </c>
      <c r="H28" s="59"/>
      <c r="K28" s="59"/>
      <c r="L28" s="100">
        <v>151.5</v>
      </c>
      <c r="N28" s="59"/>
      <c r="O28" s="57">
        <f t="shared" si="0"/>
        <v>151.5</v>
      </c>
      <c r="P28" s="57"/>
      <c r="Q28" s="59"/>
      <c r="R28" s="15" t="s">
        <v>365</v>
      </c>
      <c r="S28" s="57">
        <f>O28</f>
        <v>151.5</v>
      </c>
      <c r="T28" s="57"/>
      <c r="U28" s="59"/>
      <c r="X28" s="59"/>
      <c r="AC28" s="80" t="s">
        <v>565</v>
      </c>
      <c r="AD28" s="80">
        <f>M19</f>
        <v>200</v>
      </c>
      <c r="AE28" s="80">
        <v>40</v>
      </c>
      <c r="AF28" s="80"/>
      <c r="AG28" s="80"/>
      <c r="AH28" s="101">
        <f ca="1">SUM(AD28:AH28)</f>
        <v>240</v>
      </c>
    </row>
    <row r="29" spans="1:47" ht="20.149999999999999" customHeight="1" x14ac:dyDescent="0.35">
      <c r="A29" s="15" t="s">
        <v>354</v>
      </c>
      <c r="C29" s="39">
        <v>100</v>
      </c>
      <c r="D29" s="43"/>
      <c r="F29" s="59"/>
      <c r="G29" s="15" t="s">
        <v>571</v>
      </c>
      <c r="H29" s="59"/>
      <c r="K29" s="59"/>
      <c r="L29" s="39">
        <v>51.25</v>
      </c>
      <c r="N29" s="59"/>
      <c r="O29" s="57">
        <f t="shared" si="0"/>
        <v>51.25</v>
      </c>
      <c r="P29" s="57"/>
      <c r="Q29" s="59"/>
      <c r="R29" s="87" t="s">
        <v>3</v>
      </c>
      <c r="S29" s="57">
        <f t="shared" ref="S29:S30" si="5">O29</f>
        <v>51.25</v>
      </c>
      <c r="T29" s="57"/>
      <c r="U29" s="59"/>
      <c r="X29" s="59"/>
      <c r="AC29" s="80" t="s">
        <v>560</v>
      </c>
      <c r="AD29" s="80"/>
      <c r="AE29" s="80"/>
      <c r="AF29" s="80">
        <v>-100</v>
      </c>
      <c r="AG29" s="80"/>
      <c r="AH29" s="80">
        <f ca="1">SUM(AD29:AH29)</f>
        <v>-100</v>
      </c>
    </row>
    <row r="30" spans="1:47" ht="20.149999999999999" customHeight="1" x14ac:dyDescent="0.35">
      <c r="A30" s="15" t="s">
        <v>355</v>
      </c>
      <c r="B30" s="40"/>
      <c r="C30" s="39"/>
      <c r="D30" s="43">
        <v>1825</v>
      </c>
      <c r="F30" s="59"/>
      <c r="G30" s="15" t="s">
        <v>554</v>
      </c>
      <c r="H30" s="59"/>
      <c r="K30" s="59"/>
      <c r="L30" s="15">
        <f>20+78</f>
        <v>98</v>
      </c>
      <c r="N30" s="59"/>
      <c r="O30" s="57">
        <f t="shared" si="0"/>
        <v>98</v>
      </c>
      <c r="P30" s="57"/>
      <c r="Q30" s="59"/>
      <c r="S30" s="57">
        <f t="shared" si="5"/>
        <v>98</v>
      </c>
      <c r="T30" s="57"/>
      <c r="U30" s="59"/>
      <c r="X30" s="59"/>
      <c r="AC30" s="80" t="s">
        <v>545</v>
      </c>
      <c r="AE30" s="80"/>
      <c r="AF30" s="80"/>
      <c r="AG30" s="80">
        <v>400</v>
      </c>
      <c r="AH30" s="80">
        <f ca="1">SUM(AC30:AH30)</f>
        <v>400</v>
      </c>
    </row>
    <row r="31" spans="1:47" ht="20.149999999999999" customHeight="1" x14ac:dyDescent="0.35">
      <c r="A31" s="15" t="s">
        <v>356</v>
      </c>
      <c r="B31" s="40"/>
      <c r="C31" s="39"/>
      <c r="D31" s="43">
        <v>40</v>
      </c>
      <c r="F31" s="59"/>
      <c r="G31" s="15" t="s">
        <v>483</v>
      </c>
      <c r="H31" s="59"/>
      <c r="K31" s="59"/>
      <c r="M31" s="15">
        <v>78</v>
      </c>
      <c r="N31" s="59"/>
      <c r="O31" s="57"/>
      <c r="P31" s="57">
        <f t="shared" si="2"/>
        <v>78</v>
      </c>
      <c r="Q31" s="59"/>
      <c r="R31" s="15" t="s">
        <v>483</v>
      </c>
      <c r="S31" s="57"/>
      <c r="T31" s="57"/>
      <c r="U31" s="59"/>
      <c r="W31" s="57">
        <f>P31</f>
        <v>78</v>
      </c>
      <c r="X31" s="59"/>
      <c r="AC31" s="80" t="s">
        <v>356</v>
      </c>
      <c r="AD31" s="80"/>
      <c r="AE31" s="80"/>
      <c r="AF31" s="80"/>
      <c r="AG31" s="80">
        <v>-120</v>
      </c>
      <c r="AH31" s="80">
        <f ca="1">SUM(AD31:AH31)</f>
        <v>-120</v>
      </c>
    </row>
    <row r="32" spans="1:47" ht="20.149999999999999" customHeight="1" x14ac:dyDescent="0.35">
      <c r="A32" s="15" t="s">
        <v>357</v>
      </c>
      <c r="B32" s="41"/>
      <c r="C32" s="39"/>
      <c r="D32" s="43">
        <v>772</v>
      </c>
      <c r="F32" s="59"/>
      <c r="G32" s="15" t="s">
        <v>250</v>
      </c>
      <c r="H32" s="59"/>
      <c r="K32" s="59"/>
      <c r="M32" s="15">
        <v>82</v>
      </c>
      <c r="N32" s="59"/>
      <c r="O32" s="57"/>
      <c r="P32" s="57">
        <f t="shared" si="2"/>
        <v>82</v>
      </c>
      <c r="Q32" s="59"/>
      <c r="R32" s="15" t="s">
        <v>250</v>
      </c>
      <c r="S32" s="57"/>
      <c r="T32" s="57"/>
      <c r="U32" s="59"/>
      <c r="W32" s="57">
        <f t="shared" ref="W32" si="6">P32</f>
        <v>82</v>
      </c>
      <c r="X32" s="59"/>
      <c r="AC32" s="60" t="s">
        <v>383</v>
      </c>
      <c r="AD32" s="103">
        <f ca="1">SUM(AD26:AD34)</f>
        <v>2200</v>
      </c>
      <c r="AE32" s="103">
        <f ca="1">SUM(AE26:AE34)</f>
        <v>83</v>
      </c>
      <c r="AF32" s="103">
        <f ca="1">SUM(AF26:AF34)</f>
        <v>2907.25</v>
      </c>
      <c r="AG32" s="103">
        <f ca="1">SUM(AG26:AG34)</f>
        <v>593</v>
      </c>
      <c r="AH32" s="103">
        <f ca="1">SUM(AH26:AH34)</f>
        <v>5783.25</v>
      </c>
    </row>
    <row r="33" spans="1:34" ht="20.149999999999999" customHeight="1" x14ac:dyDescent="0.35">
      <c r="A33" s="15" t="s">
        <v>358</v>
      </c>
      <c r="B33" s="41"/>
      <c r="C33" s="39"/>
      <c r="D33" s="43">
        <v>240</v>
      </c>
      <c r="F33" s="59"/>
      <c r="G33" s="15" t="s">
        <v>574</v>
      </c>
      <c r="H33" s="59"/>
      <c r="K33" s="59"/>
      <c r="M33" s="15">
        <v>40</v>
      </c>
      <c r="N33" s="59"/>
      <c r="O33" s="57"/>
      <c r="P33" s="57">
        <f t="shared" si="2"/>
        <v>40</v>
      </c>
      <c r="Q33" s="59"/>
      <c r="R33" s="87" t="s">
        <v>411</v>
      </c>
      <c r="S33" s="57"/>
      <c r="T33" s="57">
        <f>P33</f>
        <v>40</v>
      </c>
      <c r="U33" s="59"/>
      <c r="W33" s="57"/>
      <c r="X33" s="59"/>
      <c r="AC33" s="80"/>
      <c r="AD33" s="80"/>
      <c r="AE33" s="80"/>
      <c r="AF33" s="80"/>
      <c r="AG33" s="80"/>
      <c r="AH33" s="80"/>
    </row>
    <row r="34" spans="1:34" ht="20.149999999999999" customHeight="1" thickBot="1" x14ac:dyDescent="0.4">
      <c r="B34" s="41"/>
      <c r="C34" s="45">
        <f>SUM(C8:C33)</f>
        <v>21423</v>
      </c>
      <c r="D34" s="45">
        <f>SUM(D8:D33)</f>
        <v>21423</v>
      </c>
      <c r="F34" s="59"/>
      <c r="G34" s="15" t="s">
        <v>582</v>
      </c>
      <c r="H34" s="59"/>
      <c r="K34" s="59"/>
      <c r="L34" s="15">
        <v>15</v>
      </c>
      <c r="N34" s="59"/>
      <c r="O34" s="57">
        <f t="shared" si="0"/>
        <v>15</v>
      </c>
      <c r="P34" s="57"/>
      <c r="Q34" s="59"/>
      <c r="R34" s="15" t="s">
        <v>342</v>
      </c>
      <c r="S34" s="57">
        <f>O34</f>
        <v>15</v>
      </c>
      <c r="T34" s="57"/>
      <c r="U34" s="59"/>
      <c r="X34" s="59"/>
      <c r="AC34" s="80"/>
      <c r="AD34" s="80"/>
      <c r="AE34" s="80"/>
      <c r="AF34" s="80"/>
      <c r="AG34" s="80"/>
      <c r="AH34" s="80"/>
    </row>
    <row r="35" spans="1:34" ht="20.149999999999999" customHeight="1" thickTop="1" x14ac:dyDescent="0.35">
      <c r="A35" s="16" t="s">
        <v>280</v>
      </c>
      <c r="B35" s="41"/>
      <c r="C35" s="46"/>
      <c r="E35" s="15">
        <f>2*100</f>
        <v>200</v>
      </c>
      <c r="F35" s="59"/>
      <c r="G35" s="15" t="s">
        <v>585</v>
      </c>
      <c r="H35" s="59"/>
      <c r="K35" s="59"/>
      <c r="L35" s="15">
        <v>10</v>
      </c>
      <c r="N35" s="59"/>
      <c r="O35" s="57">
        <f t="shared" si="0"/>
        <v>10</v>
      </c>
      <c r="P35" s="57"/>
      <c r="Q35" s="59"/>
      <c r="R35" s="15" t="s">
        <v>342</v>
      </c>
      <c r="S35" s="57">
        <f>O35</f>
        <v>10</v>
      </c>
      <c r="T35" s="57"/>
      <c r="U35" s="59"/>
      <c r="X35" s="59"/>
    </row>
    <row r="36" spans="1:34" ht="20.149999999999999" customHeight="1" x14ac:dyDescent="0.35">
      <c r="A36" s="15" t="s">
        <v>359</v>
      </c>
      <c r="B36" s="47"/>
      <c r="C36" s="16"/>
      <c r="D36" s="16"/>
      <c r="E36" s="15">
        <f>2*20</f>
        <v>40</v>
      </c>
      <c r="F36" s="59"/>
      <c r="H36" s="59"/>
      <c r="K36" s="59"/>
      <c r="N36" s="59"/>
      <c r="O36" s="57">
        <f t="shared" si="0"/>
        <v>0</v>
      </c>
      <c r="P36" s="57">
        <f t="shared" si="2"/>
        <v>0</v>
      </c>
      <c r="Q36" s="59"/>
      <c r="S36" s="57"/>
      <c r="T36" s="57"/>
      <c r="U36" s="59"/>
      <c r="X36" s="59"/>
      <c r="AC36" s="88"/>
    </row>
    <row r="37" spans="1:34" ht="20.149999999999999" customHeight="1" x14ac:dyDescent="0.35">
      <c r="B37" s="48" t="s">
        <v>360</v>
      </c>
      <c r="C37" s="16" t="s">
        <v>361</v>
      </c>
      <c r="D37" s="16" t="s">
        <v>362</v>
      </c>
      <c r="E37" s="15">
        <f>SUM(E35:E36)</f>
        <v>240</v>
      </c>
      <c r="F37" s="59"/>
      <c r="G37" s="15" t="s">
        <v>485</v>
      </c>
      <c r="H37" s="59"/>
      <c r="K37" s="59"/>
      <c r="N37" s="59"/>
      <c r="O37" s="57">
        <f t="shared" si="0"/>
        <v>0</v>
      </c>
      <c r="P37" s="57">
        <f t="shared" si="2"/>
        <v>0</v>
      </c>
      <c r="Q37" s="59"/>
      <c r="S37" s="57">
        <v>158.25</v>
      </c>
      <c r="T37" s="57"/>
      <c r="U37" s="59"/>
      <c r="W37" s="15">
        <v>158.25</v>
      </c>
      <c r="X37" s="59"/>
      <c r="AC37" s="88" t="s">
        <v>594</v>
      </c>
      <c r="AD37" s="88"/>
    </row>
    <row r="38" spans="1:34" ht="20.149999999999999" customHeight="1" x14ac:dyDescent="0.35">
      <c r="A38" s="15" t="s">
        <v>363</v>
      </c>
      <c r="B38" s="49">
        <v>0.05</v>
      </c>
      <c r="C38" s="15" t="s">
        <v>364</v>
      </c>
      <c r="D38" s="15" t="s">
        <v>365</v>
      </c>
      <c r="F38" s="59"/>
      <c r="H38" s="59"/>
      <c r="K38" s="59"/>
      <c r="N38" s="59"/>
      <c r="O38" s="57">
        <f t="shared" si="0"/>
        <v>0</v>
      </c>
      <c r="P38" s="57">
        <f t="shared" si="2"/>
        <v>0</v>
      </c>
      <c r="Q38" s="59"/>
      <c r="S38" s="57"/>
      <c r="T38" s="57"/>
      <c r="U38" s="59"/>
      <c r="X38" s="59"/>
      <c r="AC38" s="88" t="s">
        <v>422</v>
      </c>
      <c r="AD38" s="88"/>
    </row>
    <row r="39" spans="1:34" ht="20.149999999999999" customHeight="1" x14ac:dyDescent="0.35">
      <c r="A39" s="15" t="s">
        <v>366</v>
      </c>
      <c r="B39" s="49">
        <v>0.25</v>
      </c>
      <c r="C39" s="15" t="s">
        <v>367</v>
      </c>
      <c r="D39" s="15" t="s">
        <v>3</v>
      </c>
      <c r="F39" s="59"/>
      <c r="H39" s="59"/>
      <c r="K39" s="59"/>
      <c r="N39" s="59"/>
      <c r="O39" s="57">
        <f t="shared" si="0"/>
        <v>0</v>
      </c>
      <c r="P39" s="57">
        <f t="shared" si="2"/>
        <v>0</v>
      </c>
      <c r="Q39" s="59"/>
      <c r="S39" s="57"/>
      <c r="T39" s="57"/>
      <c r="U39" s="59"/>
      <c r="X39" s="59"/>
      <c r="AC39" s="88" t="str">
        <f>UPPER(" as at 31 March 2025.")</f>
        <v xml:space="preserve"> AS AT 31 MARCH 2025.</v>
      </c>
      <c r="AD39" s="88"/>
    </row>
    <row r="40" spans="1:34" ht="20.149999999999999" customHeight="1" x14ac:dyDescent="0.35">
      <c r="B40" s="49"/>
      <c r="F40" s="59"/>
      <c r="H40" s="59"/>
      <c r="K40" s="59"/>
      <c r="N40" s="59"/>
      <c r="O40" s="57">
        <f t="shared" si="0"/>
        <v>0</v>
      </c>
      <c r="P40" s="57">
        <f t="shared" si="2"/>
        <v>0</v>
      </c>
      <c r="Q40" s="59"/>
      <c r="S40" s="57"/>
      <c r="T40" s="57"/>
      <c r="U40" s="59"/>
      <c r="X40" s="59"/>
      <c r="AC40" s="16" t="s">
        <v>486</v>
      </c>
      <c r="AD40" s="104" t="s">
        <v>592</v>
      </c>
    </row>
    <row r="41" spans="1:34" ht="20.149999999999999" customHeight="1" x14ac:dyDescent="0.35">
      <c r="A41" s="15" t="s">
        <v>563</v>
      </c>
      <c r="B41" s="42"/>
      <c r="F41" s="59"/>
      <c r="H41" s="59"/>
      <c r="K41" s="59"/>
      <c r="N41" s="59"/>
      <c r="O41" s="57">
        <f t="shared" si="0"/>
        <v>0</v>
      </c>
      <c r="P41" s="57">
        <f t="shared" si="2"/>
        <v>0</v>
      </c>
      <c r="Q41" s="59"/>
      <c r="S41" s="57"/>
      <c r="T41" s="57"/>
      <c r="U41" s="59"/>
      <c r="X41" s="59"/>
      <c r="AC41" s="15" t="s">
        <v>595</v>
      </c>
      <c r="AD41" s="94">
        <f>O10+O11-P12-P13</f>
        <v>4826.25</v>
      </c>
    </row>
    <row r="42" spans="1:34" ht="20.149999999999999" customHeight="1" x14ac:dyDescent="0.35">
      <c r="B42" s="42"/>
      <c r="F42" s="59"/>
      <c r="H42" s="59"/>
      <c r="K42" s="59"/>
      <c r="N42" s="59"/>
      <c r="O42" s="57">
        <f t="shared" si="0"/>
        <v>0</v>
      </c>
      <c r="P42" s="57">
        <f t="shared" si="2"/>
        <v>0</v>
      </c>
      <c r="Q42" s="59"/>
      <c r="S42" s="57"/>
      <c r="T42" s="57"/>
      <c r="U42" s="59"/>
      <c r="X42" s="59"/>
      <c r="AC42" s="15" t="s">
        <v>131</v>
      </c>
      <c r="AD42" s="94">
        <f>O14</f>
        <v>2440</v>
      </c>
    </row>
    <row r="43" spans="1:34" ht="20.149999999999999" customHeight="1" x14ac:dyDescent="0.35">
      <c r="A43" s="15" t="s">
        <v>368</v>
      </c>
      <c r="B43" s="41"/>
      <c r="F43" s="59"/>
      <c r="H43" s="59"/>
      <c r="K43" s="59"/>
      <c r="N43" s="59"/>
      <c r="O43" s="57">
        <f t="shared" si="0"/>
        <v>0</v>
      </c>
      <c r="P43" s="57">
        <f t="shared" si="2"/>
        <v>0</v>
      </c>
      <c r="Q43" s="59"/>
      <c r="S43" s="57"/>
      <c r="T43" s="57"/>
      <c r="U43" s="59"/>
      <c r="X43" s="59"/>
      <c r="AD43" s="98">
        <f>SUM(AD41:AD42)</f>
        <v>7266.25</v>
      </c>
    </row>
    <row r="44" spans="1:34" ht="20.149999999999999" customHeight="1" thickBot="1" x14ac:dyDescent="0.4">
      <c r="A44" s="15" t="s">
        <v>369</v>
      </c>
      <c r="B44" s="41"/>
      <c r="F44" s="59"/>
      <c r="G44" s="105" t="s">
        <v>383</v>
      </c>
      <c r="H44" s="106"/>
      <c r="I44" s="107">
        <f>SUM(I4:I43)</f>
        <v>21423</v>
      </c>
      <c r="J44" s="107">
        <f>SUM(J4:J43)</f>
        <v>21423</v>
      </c>
      <c r="K44" s="106"/>
      <c r="L44" s="107">
        <f>SUM(L4:L43)</f>
        <v>1207.75</v>
      </c>
      <c r="M44" s="107">
        <f>SUM(M4:M43)</f>
        <v>1207.75</v>
      </c>
      <c r="N44" s="106"/>
      <c r="O44" s="107">
        <f>SUM(O4:O43)</f>
        <v>22255.75</v>
      </c>
      <c r="P44" s="107">
        <f>SUM(P4:P43)</f>
        <v>22255.75</v>
      </c>
      <c r="Q44" s="106"/>
      <c r="R44" s="108"/>
      <c r="S44" s="107">
        <f>SUM(S4:S43)</f>
        <v>12650</v>
      </c>
      <c r="T44" s="107">
        <f>SUM(T4:T43)</f>
        <v>12650</v>
      </c>
      <c r="U44" s="106"/>
      <c r="V44" s="107">
        <f>SUM(V4:V43)</f>
        <v>9764</v>
      </c>
      <c r="W44" s="107">
        <f>SUM(W4:W43)</f>
        <v>9764</v>
      </c>
      <c r="X44" s="59"/>
      <c r="AC44" s="16" t="s">
        <v>427</v>
      </c>
      <c r="AD44" s="94"/>
    </row>
    <row r="45" spans="1:34" ht="20.149999999999999" customHeight="1" thickTop="1" x14ac:dyDescent="0.35">
      <c r="A45" s="15" t="s">
        <v>564</v>
      </c>
      <c r="B45" s="41"/>
      <c r="F45" s="59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9"/>
      <c r="S45" s="16"/>
      <c r="T45" s="16"/>
      <c r="U45" s="16"/>
      <c r="V45" s="16"/>
      <c r="W45" s="16"/>
      <c r="X45" s="16"/>
      <c r="AC45" s="15" t="s">
        <v>428</v>
      </c>
      <c r="AD45" s="94">
        <f>O15</f>
        <v>485</v>
      </c>
    </row>
    <row r="46" spans="1:34" ht="20.149999999999999" customHeight="1" x14ac:dyDescent="0.35">
      <c r="A46" s="15" t="s">
        <v>370</v>
      </c>
      <c r="B46" s="42"/>
      <c r="C46" s="46"/>
      <c r="F46" s="59"/>
      <c r="G46" s="16" t="s">
        <v>384</v>
      </c>
      <c r="H46" s="16"/>
      <c r="I46" s="16">
        <f>I44-J44</f>
        <v>0</v>
      </c>
      <c r="J46" s="16"/>
      <c r="K46" s="16"/>
      <c r="L46" s="16">
        <f>L44-M44</f>
        <v>0</v>
      </c>
      <c r="M46" s="16"/>
      <c r="N46" s="16"/>
      <c r="O46" s="16">
        <f>O44-P44</f>
        <v>0</v>
      </c>
      <c r="P46" s="16"/>
      <c r="Q46" s="16"/>
      <c r="R46" s="109"/>
      <c r="S46" s="16">
        <f>S44-T44</f>
        <v>0</v>
      </c>
      <c r="T46" s="16"/>
      <c r="U46" s="16"/>
      <c r="V46" s="16">
        <f>V44-W44</f>
        <v>0</v>
      </c>
      <c r="W46" s="16"/>
      <c r="AC46" s="15" t="s">
        <v>51</v>
      </c>
      <c r="AD46" s="94">
        <f>O16-P17</f>
        <v>850</v>
      </c>
    </row>
    <row r="47" spans="1:34" ht="20.149999999999999" customHeight="1" x14ac:dyDescent="0.35">
      <c r="A47" s="15" t="s">
        <v>371</v>
      </c>
      <c r="B47" s="50"/>
      <c r="AC47" s="15" t="s">
        <v>490</v>
      </c>
      <c r="AD47" s="94">
        <f>O18</f>
        <v>119</v>
      </c>
    </row>
    <row r="48" spans="1:34" ht="20.149999999999999" customHeight="1" x14ac:dyDescent="0.35">
      <c r="A48" s="15" t="s">
        <v>372</v>
      </c>
      <c r="B48" s="50"/>
      <c r="AD48" s="98">
        <f>SUM(AD45:AD47)</f>
        <v>1454</v>
      </c>
    </row>
    <row r="49" spans="1:30" ht="20.149999999999999" customHeight="1" thickBot="1" x14ac:dyDescent="0.4">
      <c r="A49" s="15" t="s">
        <v>373</v>
      </c>
      <c r="B49" s="50"/>
      <c r="AC49" s="105" t="s">
        <v>430</v>
      </c>
      <c r="AD49" s="110">
        <f>SUM(AD43,AD48)</f>
        <v>8720.25</v>
      </c>
    </row>
    <row r="50" spans="1:30" ht="20.149999999999999" customHeight="1" thickTop="1" x14ac:dyDescent="0.35">
      <c r="B50" s="51" t="s">
        <v>350</v>
      </c>
      <c r="C50" s="27" t="s">
        <v>374</v>
      </c>
    </row>
    <row r="51" spans="1:30" ht="20.149999999999999" customHeight="1" x14ac:dyDescent="0.35">
      <c r="B51" s="51" t="s">
        <v>375</v>
      </c>
      <c r="C51" s="14"/>
      <c r="AC51" s="16" t="s">
        <v>491</v>
      </c>
      <c r="AD51" s="94"/>
    </row>
    <row r="52" spans="1:30" ht="20.149999999999999" customHeight="1" x14ac:dyDescent="0.35">
      <c r="B52" s="15">
        <v>260</v>
      </c>
      <c r="C52" s="52">
        <v>0.05</v>
      </c>
      <c r="D52" s="15">
        <f>C52*B52</f>
        <v>13</v>
      </c>
      <c r="AC52" s="16" t="s">
        <v>432</v>
      </c>
      <c r="AD52" s="94"/>
    </row>
    <row r="53" spans="1:30" ht="20.149999999999999" customHeight="1" x14ac:dyDescent="0.35">
      <c r="B53" s="15">
        <v>125</v>
      </c>
      <c r="C53" s="52">
        <v>0.2</v>
      </c>
      <c r="D53" s="15">
        <f>C53*B53</f>
        <v>25</v>
      </c>
      <c r="AC53" s="15" t="s">
        <v>169</v>
      </c>
      <c r="AD53" s="94">
        <f ca="1">AD32</f>
        <v>2200</v>
      </c>
    </row>
    <row r="54" spans="1:30" ht="20.149999999999999" customHeight="1" x14ac:dyDescent="0.35">
      <c r="B54" s="15">
        <f>460-B52-B53</f>
        <v>75</v>
      </c>
      <c r="C54" s="52">
        <v>0.4</v>
      </c>
      <c r="D54" s="15">
        <f>C54*B54</f>
        <v>30</v>
      </c>
      <c r="AC54" s="16" t="s">
        <v>433</v>
      </c>
      <c r="AD54" s="94"/>
    </row>
    <row r="55" spans="1:30" ht="20.149999999999999" customHeight="1" x14ac:dyDescent="0.35">
      <c r="C55" s="15" t="s">
        <v>583</v>
      </c>
      <c r="D55" s="16">
        <f>SUM(D52:D54)</f>
        <v>68</v>
      </c>
      <c r="AC55" s="96" t="s">
        <v>8</v>
      </c>
      <c r="AD55" s="94">
        <f ca="1">AE32</f>
        <v>83</v>
      </c>
    </row>
    <row r="56" spans="1:30" ht="20.149999999999999" customHeight="1" x14ac:dyDescent="0.35">
      <c r="A56" s="15" t="s">
        <v>240</v>
      </c>
      <c r="C56" s="15" t="s">
        <v>584</v>
      </c>
      <c r="D56" s="15">
        <v>58</v>
      </c>
      <c r="AC56" s="96" t="s">
        <v>493</v>
      </c>
      <c r="AD56" s="94">
        <f ca="1">AF32</f>
        <v>2907.25</v>
      </c>
    </row>
    <row r="57" spans="1:30" ht="20.149999999999999" customHeight="1" x14ac:dyDescent="0.35">
      <c r="A57" s="15" t="s">
        <v>376</v>
      </c>
      <c r="C57" s="15" t="s">
        <v>562</v>
      </c>
      <c r="D57" s="15">
        <f>D55-D56</f>
        <v>10</v>
      </c>
      <c r="AC57" s="96" t="s">
        <v>591</v>
      </c>
      <c r="AD57" s="94">
        <f ca="1">AG32</f>
        <v>593</v>
      </c>
    </row>
    <row r="58" spans="1:30" ht="30" customHeight="1" x14ac:dyDescent="0.35">
      <c r="A58" s="15" t="s">
        <v>377</v>
      </c>
      <c r="AC58" s="16" t="s">
        <v>495</v>
      </c>
      <c r="AD58" s="98">
        <v>5783.25</v>
      </c>
    </row>
    <row r="59" spans="1:30" ht="30" customHeight="1" x14ac:dyDescent="0.35">
      <c r="A59" s="15" t="s">
        <v>378</v>
      </c>
      <c r="AC59" s="16" t="s">
        <v>496</v>
      </c>
      <c r="AD59" s="94"/>
    </row>
    <row r="60" spans="1:30" ht="30" customHeight="1" x14ac:dyDescent="0.35">
      <c r="A60" s="15" t="s">
        <v>379</v>
      </c>
      <c r="AC60" s="15" t="s">
        <v>355</v>
      </c>
      <c r="AD60" s="94">
        <f>P24</f>
        <v>1825</v>
      </c>
    </row>
    <row r="61" spans="1:30" ht="20.149999999999999" customHeight="1" x14ac:dyDescent="0.35">
      <c r="AC61" s="15" t="s">
        <v>356</v>
      </c>
      <c r="AD61" s="94">
        <f>P25</f>
        <v>180</v>
      </c>
    </row>
    <row r="62" spans="1:30" x14ac:dyDescent="0.35">
      <c r="AD62" s="98">
        <f>SUM(AD60:AD61)</f>
        <v>2005</v>
      </c>
    </row>
    <row r="63" spans="1:30" x14ac:dyDescent="0.35">
      <c r="AC63" s="16" t="s">
        <v>438</v>
      </c>
      <c r="AD63" s="94"/>
    </row>
    <row r="64" spans="1:30" x14ac:dyDescent="0.35">
      <c r="AC64" s="15" t="s">
        <v>250</v>
      </c>
      <c r="AD64" s="94">
        <f>P32</f>
        <v>82</v>
      </c>
    </row>
    <row r="65" spans="1:30" x14ac:dyDescent="0.35">
      <c r="A65" s="16"/>
      <c r="AC65" s="15" t="s">
        <v>142</v>
      </c>
      <c r="AD65" s="94">
        <f>P26</f>
        <v>772</v>
      </c>
    </row>
    <row r="66" spans="1:30" x14ac:dyDescent="0.35">
      <c r="AC66" s="15" t="s">
        <v>561</v>
      </c>
      <c r="AD66" s="94">
        <f>P31</f>
        <v>78</v>
      </c>
    </row>
    <row r="67" spans="1:30" x14ac:dyDescent="0.35">
      <c r="AD67" s="98">
        <f>SUM(AD64:AD66)</f>
        <v>932</v>
      </c>
    </row>
    <row r="68" spans="1:30" ht="17" x14ac:dyDescent="0.5">
      <c r="D68" s="111"/>
      <c r="AC68" s="16" t="s">
        <v>439</v>
      </c>
      <c r="AD68" s="98">
        <f>SUM(AD67,AD62)</f>
        <v>2937</v>
      </c>
    </row>
    <row r="69" spans="1:30" ht="16" thickBot="1" x14ac:dyDescent="0.4">
      <c r="AC69" s="105" t="s">
        <v>499</v>
      </c>
      <c r="AD69" s="110">
        <f>AD58+AD68</f>
        <v>8720.25</v>
      </c>
    </row>
    <row r="70" spans="1:30" ht="16" thickTop="1" x14ac:dyDescent="0.35"/>
    <row r="71" spans="1:30" ht="17" x14ac:dyDescent="0.5">
      <c r="D71" s="111"/>
    </row>
    <row r="73" spans="1:30" ht="17" x14ac:dyDescent="0.5">
      <c r="D73" s="111"/>
    </row>
    <row r="75" spans="1:30" x14ac:dyDescent="0.35">
      <c r="A75" s="16"/>
      <c r="AD75" s="1"/>
    </row>
    <row r="76" spans="1:30" x14ac:dyDescent="0.35">
      <c r="AC76" s="15" t="s">
        <v>441</v>
      </c>
      <c r="AD76" s="1">
        <f>AD49-AD69</f>
        <v>0</v>
      </c>
    </row>
    <row r="86" spans="1:1" x14ac:dyDescent="0.35">
      <c r="A86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54F7C-EE18-44E9-9BF0-D07D4E9331F8}">
  <sheetPr>
    <pageSetUpPr fitToPage="1"/>
  </sheetPr>
  <dimension ref="A1"/>
  <sheetViews>
    <sheetView topLeftCell="A55" workbookViewId="0">
      <selection activeCell="A55" sqref="A1:XFD1048576"/>
    </sheetView>
  </sheetViews>
  <sheetFormatPr defaultRowHeight="14.5" x14ac:dyDescent="0.35"/>
  <sheetData/>
  <pageMargins left="0.7" right="0.7" top="0.75" bottom="0.75" header="0.3" footer="0.3"/>
  <pageSetup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32A1-5251-4277-A9AA-7073745D356B}">
  <dimension ref="A1:D53"/>
  <sheetViews>
    <sheetView topLeftCell="A25" workbookViewId="0">
      <selection activeCell="A31" sqref="A31"/>
    </sheetView>
  </sheetViews>
  <sheetFormatPr defaultColWidth="9.1796875" defaultRowHeight="14" x14ac:dyDescent="0.3"/>
  <cols>
    <col min="1" max="1" width="34" style="33" customWidth="1"/>
    <col min="2" max="3" width="15.7265625" style="33" bestFit="1" customWidth="1"/>
    <col min="4" max="16384" width="9.1796875" style="33"/>
  </cols>
  <sheetData>
    <row r="1" spans="1:3" x14ac:dyDescent="0.3">
      <c r="A1" s="35" t="s">
        <v>279</v>
      </c>
      <c r="B1" s="35"/>
      <c r="C1" s="35"/>
    </row>
    <row r="2" spans="1:3" x14ac:dyDescent="0.3">
      <c r="A2" s="35" t="s">
        <v>262</v>
      </c>
      <c r="B2" s="35" t="s">
        <v>266</v>
      </c>
      <c r="C2" s="35" t="s">
        <v>266</v>
      </c>
    </row>
    <row r="3" spans="1:3" x14ac:dyDescent="0.3">
      <c r="A3" s="33" t="s">
        <v>267</v>
      </c>
      <c r="B3" s="34"/>
      <c r="C3" s="34">
        <v>478534</v>
      </c>
    </row>
    <row r="4" spans="1:3" x14ac:dyDescent="0.3">
      <c r="A4" s="33" t="s">
        <v>295</v>
      </c>
      <c r="B4" s="34">
        <v>2242500</v>
      </c>
      <c r="C4" s="34"/>
    </row>
    <row r="5" spans="1:3" x14ac:dyDescent="0.3">
      <c r="A5" s="33" t="s">
        <v>296</v>
      </c>
      <c r="B5" s="34">
        <v>864050</v>
      </c>
      <c r="C5" s="34"/>
    </row>
    <row r="6" spans="1:3" x14ac:dyDescent="0.3">
      <c r="A6" s="33" t="s">
        <v>268</v>
      </c>
      <c r="B6" s="34"/>
      <c r="C6" s="34">
        <v>7542520</v>
      </c>
    </row>
    <row r="7" spans="1:3" x14ac:dyDescent="0.3">
      <c r="A7" s="33" t="s">
        <v>122</v>
      </c>
      <c r="B7" s="34">
        <v>4875260</v>
      </c>
      <c r="C7" s="34"/>
    </row>
    <row r="8" spans="1:3" x14ac:dyDescent="0.3">
      <c r="A8" s="33" t="s">
        <v>269</v>
      </c>
      <c r="B8" s="34">
        <v>345875</v>
      </c>
      <c r="C8" s="34"/>
    </row>
    <row r="9" spans="1:3" x14ac:dyDescent="0.3">
      <c r="A9" s="33" t="s">
        <v>270</v>
      </c>
      <c r="B9" s="34"/>
      <c r="C9" s="34">
        <v>248750</v>
      </c>
    </row>
    <row r="10" spans="1:3" x14ac:dyDescent="0.3">
      <c r="A10" s="33" t="s">
        <v>271</v>
      </c>
      <c r="B10" s="34">
        <v>40000</v>
      </c>
      <c r="C10" s="34"/>
    </row>
    <row r="11" spans="1:3" x14ac:dyDescent="0.3">
      <c r="A11" s="33" t="s">
        <v>12</v>
      </c>
      <c r="B11" s="34">
        <v>468500</v>
      </c>
      <c r="C11" s="34"/>
    </row>
    <row r="12" spans="1:3" x14ac:dyDescent="0.3">
      <c r="A12" s="33" t="s">
        <v>272</v>
      </c>
      <c r="B12" s="34"/>
      <c r="C12" s="34">
        <v>1457500</v>
      </c>
    </row>
    <row r="13" spans="1:3" x14ac:dyDescent="0.3">
      <c r="A13" s="33" t="s">
        <v>169</v>
      </c>
      <c r="B13" s="34"/>
      <c r="C13" s="34">
        <v>180000</v>
      </c>
    </row>
    <row r="14" spans="1:3" x14ac:dyDescent="0.3">
      <c r="A14" s="33" t="s">
        <v>273</v>
      </c>
      <c r="B14" s="34"/>
      <c r="C14" s="34">
        <v>4000</v>
      </c>
    </row>
    <row r="15" spans="1:3" x14ac:dyDescent="0.3">
      <c r="A15" s="33" t="s">
        <v>274</v>
      </c>
      <c r="B15" s="34">
        <v>200000</v>
      </c>
      <c r="C15" s="34"/>
    </row>
    <row r="16" spans="1:3" x14ac:dyDescent="0.3">
      <c r="A16" s="33" t="s">
        <v>297</v>
      </c>
      <c r="B16" s="34">
        <v>284650</v>
      </c>
      <c r="C16" s="34"/>
    </row>
    <row r="17" spans="1:3" x14ac:dyDescent="0.3">
      <c r="A17" s="33" t="s">
        <v>275</v>
      </c>
      <c r="B17" s="34">
        <v>163000</v>
      </c>
      <c r="C17" s="34"/>
    </row>
    <row r="18" spans="1:3" x14ac:dyDescent="0.3">
      <c r="A18" s="33" t="s">
        <v>246</v>
      </c>
      <c r="B18" s="34">
        <v>10000</v>
      </c>
      <c r="C18" s="34"/>
    </row>
    <row r="19" spans="1:3" x14ac:dyDescent="0.3">
      <c r="A19" s="33" t="s">
        <v>173</v>
      </c>
      <c r="B19" s="34">
        <v>812720</v>
      </c>
      <c r="C19" s="34"/>
    </row>
    <row r="20" spans="1:3" x14ac:dyDescent="0.3">
      <c r="A20" s="33" t="s">
        <v>276</v>
      </c>
      <c r="B20" s="34"/>
      <c r="C20" s="34">
        <v>36000</v>
      </c>
    </row>
    <row r="21" spans="1:3" x14ac:dyDescent="0.3">
      <c r="A21" s="33" t="s">
        <v>140</v>
      </c>
      <c r="B21" s="34">
        <v>394600</v>
      </c>
      <c r="C21" s="34"/>
    </row>
    <row r="22" spans="1:3" x14ac:dyDescent="0.3">
      <c r="A22" s="33" t="s">
        <v>277</v>
      </c>
      <c r="B22" s="34"/>
      <c r="C22" s="34">
        <v>12601</v>
      </c>
    </row>
    <row r="23" spans="1:3" x14ac:dyDescent="0.3">
      <c r="A23" s="33" t="s">
        <v>5</v>
      </c>
      <c r="B23" s="34">
        <v>248750</v>
      </c>
      <c r="C23" s="34"/>
    </row>
    <row r="24" spans="1:3" x14ac:dyDescent="0.3">
      <c r="A24" s="33" t="s">
        <v>278</v>
      </c>
      <c r="B24" s="34"/>
      <c r="C24" s="34"/>
    </row>
    <row r="25" spans="1:3" x14ac:dyDescent="0.3">
      <c r="A25" s="33" t="s">
        <v>265</v>
      </c>
      <c r="B25" s="34"/>
      <c r="C25" s="34">
        <v>580000</v>
      </c>
    </row>
    <row r="26" spans="1:3" x14ac:dyDescent="0.3">
      <c r="A26" s="33" t="s">
        <v>139</v>
      </c>
      <c r="B26" s="34"/>
      <c r="C26" s="34">
        <v>220000</v>
      </c>
    </row>
    <row r="27" spans="1:3" x14ac:dyDescent="0.3">
      <c r="A27" s="33" t="s">
        <v>261</v>
      </c>
      <c r="B27" s="34"/>
      <c r="C27" s="34">
        <v>190000</v>
      </c>
    </row>
    <row r="28" spans="1:3" ht="14.5" thickBot="1" x14ac:dyDescent="0.35">
      <c r="A28" s="35"/>
      <c r="B28" s="37">
        <f>SUM(B3:B27)</f>
        <v>10949905</v>
      </c>
      <c r="C28" s="37">
        <f>SUM(C3:C27)</f>
        <v>10949905</v>
      </c>
    </row>
    <row r="29" spans="1:3" ht="14.5" thickTop="1" x14ac:dyDescent="0.3"/>
    <row r="30" spans="1:3" x14ac:dyDescent="0.3">
      <c r="A30" s="33" t="s">
        <v>280</v>
      </c>
    </row>
    <row r="31" spans="1:3" x14ac:dyDescent="0.3">
      <c r="A31" s="33" t="s">
        <v>285</v>
      </c>
    </row>
    <row r="32" spans="1:3" x14ac:dyDescent="0.3">
      <c r="A32" s="33" t="s">
        <v>304</v>
      </c>
    </row>
    <row r="33" spans="1:2" x14ac:dyDescent="0.3">
      <c r="A33" s="33" t="s">
        <v>298</v>
      </c>
    </row>
    <row r="34" spans="1:2" x14ac:dyDescent="0.3">
      <c r="A34" s="33" t="s">
        <v>286</v>
      </c>
    </row>
    <row r="35" spans="1:2" x14ac:dyDescent="0.3">
      <c r="A35" s="33" t="s">
        <v>287</v>
      </c>
    </row>
    <row r="36" spans="1:2" x14ac:dyDescent="0.3">
      <c r="A36" s="33" t="s">
        <v>299</v>
      </c>
    </row>
    <row r="37" spans="1:2" x14ac:dyDescent="0.3">
      <c r="A37" s="33" t="s">
        <v>300</v>
      </c>
    </row>
    <row r="38" spans="1:2" x14ac:dyDescent="0.3">
      <c r="A38" s="35" t="s">
        <v>288</v>
      </c>
    </row>
    <row r="39" spans="1:2" x14ac:dyDescent="0.3">
      <c r="A39" s="38" t="s">
        <v>265</v>
      </c>
      <c r="B39" s="33" t="s">
        <v>281</v>
      </c>
    </row>
    <row r="40" spans="1:2" x14ac:dyDescent="0.3">
      <c r="A40" s="38" t="s">
        <v>139</v>
      </c>
      <c r="B40" s="36" t="s">
        <v>289</v>
      </c>
    </row>
    <row r="41" spans="1:2" x14ac:dyDescent="0.3">
      <c r="A41" s="38" t="s">
        <v>290</v>
      </c>
      <c r="B41" s="36" t="s">
        <v>291</v>
      </c>
    </row>
    <row r="43" spans="1:2" x14ac:dyDescent="0.3">
      <c r="A43" s="33" t="s">
        <v>305</v>
      </c>
    </row>
    <row r="44" spans="1:2" x14ac:dyDescent="0.3">
      <c r="A44" s="33" t="s">
        <v>292</v>
      </c>
    </row>
    <row r="45" spans="1:2" x14ac:dyDescent="0.3">
      <c r="A45" s="33" t="s">
        <v>301</v>
      </c>
    </row>
    <row r="46" spans="1:2" x14ac:dyDescent="0.3">
      <c r="A46" s="33" t="s">
        <v>282</v>
      </c>
      <c r="B46" s="33" t="s">
        <v>302</v>
      </c>
    </row>
    <row r="47" spans="1:2" x14ac:dyDescent="0.3">
      <c r="A47" s="33" t="s">
        <v>303</v>
      </c>
    </row>
    <row r="48" spans="1:2" x14ac:dyDescent="0.3">
      <c r="A48" s="33" t="s">
        <v>293</v>
      </c>
    </row>
    <row r="50" spans="1:4" x14ac:dyDescent="0.3">
      <c r="A50" s="33" t="s">
        <v>294</v>
      </c>
    </row>
    <row r="51" spans="1:4" x14ac:dyDescent="0.3">
      <c r="A51" s="35" t="s">
        <v>240</v>
      </c>
    </row>
    <row r="52" spans="1:4" x14ac:dyDescent="0.3">
      <c r="A52" s="33" t="s">
        <v>283</v>
      </c>
      <c r="D52" s="33" t="s">
        <v>85</v>
      </c>
    </row>
    <row r="53" spans="1:4" x14ac:dyDescent="0.3">
      <c r="A53" s="33" t="s">
        <v>284</v>
      </c>
      <c r="D53" s="3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A536-8EE8-4972-840F-C75F1A0DF0FA}">
  <dimension ref="A1"/>
  <sheetViews>
    <sheetView topLeftCell="D1" workbookViewId="0">
      <selection activeCell="M34" sqref="M1:DO1048576"/>
    </sheetView>
  </sheetViews>
  <sheetFormatPr defaultRowHeight="14.5" x14ac:dyDescent="0.35"/>
  <cols>
    <col min="6" max="6" width="10.81640625" customWidth="1"/>
    <col min="10" max="10" width="11.54296875" customWidth="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C45D-3563-4239-AB85-A8EBB7DE2F83}">
  <dimension ref="A1"/>
  <sheetViews>
    <sheetView topLeftCell="E19" workbookViewId="0">
      <selection activeCell="N1" sqref="N1:DF1048576"/>
    </sheetView>
  </sheetViews>
  <sheetFormatPr defaultColWidth="9.1796875" defaultRowHeight="14.5" x14ac:dyDescent="0.35"/>
  <cols>
    <col min="1" max="16384" width="9.1796875" style="24"/>
  </cols>
  <sheetData/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FEF9-76A5-4C1D-B54D-FA6ED8E0DD20}">
  <dimension ref="A3:D78"/>
  <sheetViews>
    <sheetView topLeftCell="A64" zoomScale="85" zoomScaleNormal="85" workbookViewId="0">
      <selection activeCell="A70" sqref="A70"/>
    </sheetView>
  </sheetViews>
  <sheetFormatPr defaultColWidth="9.1796875" defaultRowHeight="15.5" x14ac:dyDescent="0.35"/>
  <cols>
    <col min="1" max="1" width="81.81640625" style="15" customWidth="1"/>
    <col min="2" max="2" width="21" style="1" customWidth="1"/>
    <col min="3" max="3" width="22.453125" style="1" customWidth="1"/>
    <col min="4" max="4" width="3.7265625" style="20" customWidth="1"/>
    <col min="5" max="16384" width="9.1796875" style="15"/>
  </cols>
  <sheetData>
    <row r="3" spans="1:3" x14ac:dyDescent="0.35">
      <c r="A3" s="15" t="s">
        <v>251</v>
      </c>
    </row>
    <row r="5" spans="1:3" x14ac:dyDescent="0.35">
      <c r="A5" s="15" t="s">
        <v>0</v>
      </c>
      <c r="B5" s="1" t="s">
        <v>1</v>
      </c>
      <c r="C5" s="1" t="s">
        <v>45</v>
      </c>
    </row>
    <row r="6" spans="1:3" x14ac:dyDescent="0.35">
      <c r="A6" s="15" t="s">
        <v>2</v>
      </c>
      <c r="C6" s="1">
        <v>1153800</v>
      </c>
    </row>
    <row r="7" spans="1:3" x14ac:dyDescent="0.35">
      <c r="A7" s="15" t="s">
        <v>3</v>
      </c>
      <c r="B7" s="1">
        <v>678900</v>
      </c>
    </row>
    <row r="8" spans="1:3" x14ac:dyDescent="0.35">
      <c r="A8" s="15" t="s">
        <v>4</v>
      </c>
      <c r="B8" s="1">
        <v>95700</v>
      </c>
    </row>
    <row r="9" spans="1:3" x14ac:dyDescent="0.35">
      <c r="A9" s="15" t="s">
        <v>5</v>
      </c>
      <c r="B9" s="1">
        <v>118400</v>
      </c>
    </row>
    <row r="10" spans="1:3" x14ac:dyDescent="0.35">
      <c r="A10" s="15" t="s">
        <v>260</v>
      </c>
      <c r="B10" s="1">
        <v>117500</v>
      </c>
    </row>
    <row r="12" spans="1:3" x14ac:dyDescent="0.35">
      <c r="A12" s="15" t="s">
        <v>51</v>
      </c>
      <c r="B12" s="1">
        <v>155600</v>
      </c>
    </row>
    <row r="13" spans="1:3" x14ac:dyDescent="0.35">
      <c r="A13" s="15" t="s">
        <v>50</v>
      </c>
      <c r="C13" s="1">
        <v>87200</v>
      </c>
    </row>
    <row r="14" spans="1:3" x14ac:dyDescent="0.35">
      <c r="A14" s="15" t="s">
        <v>6</v>
      </c>
      <c r="B14" s="1">
        <v>29800</v>
      </c>
    </row>
    <row r="15" spans="1:3" x14ac:dyDescent="0.35">
      <c r="A15" s="15" t="s">
        <v>7</v>
      </c>
      <c r="B15" s="1" t="s">
        <v>0</v>
      </c>
      <c r="C15" s="1">
        <v>60000</v>
      </c>
    </row>
    <row r="16" spans="1:3" x14ac:dyDescent="0.35">
      <c r="A16" s="15" t="s">
        <v>8</v>
      </c>
      <c r="B16" s="1" t="s">
        <v>0</v>
      </c>
      <c r="C16" s="1">
        <v>5000</v>
      </c>
    </row>
    <row r="17" spans="1:3" x14ac:dyDescent="0.35">
      <c r="A17" s="15" t="s">
        <v>9</v>
      </c>
      <c r="B17" s="1" t="s">
        <v>0</v>
      </c>
      <c r="C17" s="1">
        <v>44300</v>
      </c>
    </row>
    <row r="18" spans="1:3" x14ac:dyDescent="0.35">
      <c r="A18" s="15" t="s">
        <v>10</v>
      </c>
      <c r="B18" s="1">
        <f>45000+220000</f>
        <v>265000</v>
      </c>
    </row>
    <row r="19" spans="1:3" x14ac:dyDescent="0.35">
      <c r="A19" s="15" t="s">
        <v>11</v>
      </c>
      <c r="B19" s="1">
        <v>102000</v>
      </c>
    </row>
    <row r="20" spans="1:3" x14ac:dyDescent="0.35">
      <c r="A20" s="15" t="s">
        <v>12</v>
      </c>
      <c r="B20" s="1">
        <v>28000</v>
      </c>
    </row>
    <row r="21" spans="1:3" x14ac:dyDescent="0.35">
      <c r="A21" s="15" t="s">
        <v>13</v>
      </c>
      <c r="B21" s="1">
        <v>12000</v>
      </c>
    </row>
    <row r="22" spans="1:3" x14ac:dyDescent="0.35">
      <c r="A22" s="15" t="s">
        <v>14</v>
      </c>
    </row>
    <row r="23" spans="1:3" x14ac:dyDescent="0.35">
      <c r="A23" s="15" t="s">
        <v>46</v>
      </c>
      <c r="B23" s="1" t="s">
        <v>0</v>
      </c>
      <c r="C23" s="1">
        <f>4000+75000</f>
        <v>79000</v>
      </c>
    </row>
    <row r="24" spans="1:3" x14ac:dyDescent="0.35">
      <c r="A24" s="15" t="s">
        <v>47</v>
      </c>
      <c r="B24" s="1" t="s">
        <v>0</v>
      </c>
      <c r="C24" s="1">
        <f>9050+29600</f>
        <v>38650</v>
      </c>
    </row>
    <row r="25" spans="1:3" x14ac:dyDescent="0.35">
      <c r="A25" s="15" t="s">
        <v>48</v>
      </c>
      <c r="B25" s="1" t="s">
        <v>0</v>
      </c>
      <c r="C25" s="1">
        <f>3360+11200</f>
        <v>14560</v>
      </c>
    </row>
    <row r="26" spans="1:3" x14ac:dyDescent="0.35">
      <c r="A26" s="15" t="s">
        <v>49</v>
      </c>
      <c r="B26" s="1" t="s">
        <v>0</v>
      </c>
      <c r="C26" s="1">
        <f>720+4800</f>
        <v>5520</v>
      </c>
    </row>
    <row r="27" spans="1:3" x14ac:dyDescent="0.35">
      <c r="A27" s="15" t="s">
        <v>15</v>
      </c>
      <c r="B27" s="1" t="s">
        <v>0</v>
      </c>
      <c r="C27" s="1">
        <v>16600</v>
      </c>
    </row>
    <row r="28" spans="1:3" x14ac:dyDescent="0.35">
      <c r="A28" s="15" t="s">
        <v>16</v>
      </c>
      <c r="B28" s="1">
        <v>2800</v>
      </c>
    </row>
    <row r="29" spans="1:3" x14ac:dyDescent="0.35">
      <c r="A29" s="15" t="s">
        <v>17</v>
      </c>
      <c r="B29" s="1">
        <f>1100+7800</f>
        <v>8900</v>
      </c>
    </row>
    <row r="30" spans="1:3" x14ac:dyDescent="0.35">
      <c r="A30" s="15" t="s">
        <v>18</v>
      </c>
      <c r="B30" s="1">
        <v>0</v>
      </c>
      <c r="C30" s="1">
        <v>87500</v>
      </c>
    </row>
    <row r="31" spans="1:3" x14ac:dyDescent="0.35">
      <c r="A31" s="15" t="s">
        <v>259</v>
      </c>
      <c r="B31" s="1">
        <f>2625+5250</f>
        <v>7875</v>
      </c>
    </row>
    <row r="32" spans="1:3" x14ac:dyDescent="0.35">
      <c r="A32" s="15" t="s">
        <v>19</v>
      </c>
      <c r="B32" s="1">
        <v>1250</v>
      </c>
    </row>
    <row r="33" spans="1:3" x14ac:dyDescent="0.35">
      <c r="A33" s="15" t="s">
        <v>252</v>
      </c>
      <c r="C33" s="1">
        <v>20000</v>
      </c>
    </row>
    <row r="34" spans="1:3" x14ac:dyDescent="0.35">
      <c r="A34" s="15" t="s">
        <v>253</v>
      </c>
      <c r="C34" s="1">
        <v>25000</v>
      </c>
    </row>
    <row r="35" spans="1:3" x14ac:dyDescent="0.35">
      <c r="A35" s="15" t="s">
        <v>254</v>
      </c>
      <c r="B35" s="1">
        <v>4000</v>
      </c>
    </row>
    <row r="36" spans="1:3" x14ac:dyDescent="0.35">
      <c r="A36" s="15" t="s">
        <v>255</v>
      </c>
      <c r="B36" s="23">
        <f>12.5%*(B19-29600)</f>
        <v>9050</v>
      </c>
    </row>
    <row r="37" spans="1:3" x14ac:dyDescent="0.35">
      <c r="A37" s="15" t="s">
        <v>256</v>
      </c>
      <c r="B37" s="1">
        <f>20%*(B20-11200)</f>
        <v>3360</v>
      </c>
    </row>
    <row r="38" spans="1:3" x14ac:dyDescent="0.35">
      <c r="A38" s="15" t="s">
        <v>257</v>
      </c>
      <c r="B38" s="1">
        <f>10%*(B21-4800)</f>
        <v>720</v>
      </c>
    </row>
    <row r="39" spans="1:3" x14ac:dyDescent="0.35">
      <c r="A39" s="15" t="s">
        <v>250</v>
      </c>
      <c r="B39" s="15"/>
      <c r="C39" s="1">
        <v>2625</v>
      </c>
    </row>
    <row r="40" spans="1:3" x14ac:dyDescent="0.35">
      <c r="A40" s="15" t="s">
        <v>258</v>
      </c>
      <c r="C40" s="1">
        <v>1100</v>
      </c>
    </row>
    <row r="46" spans="1:3" x14ac:dyDescent="0.35">
      <c r="B46" s="1">
        <f>SUM(B6:B45)</f>
        <v>1640855</v>
      </c>
      <c r="C46" s="1">
        <f>SUM(C6:C45)</f>
        <v>1640855</v>
      </c>
    </row>
    <row r="47" spans="1:3" x14ac:dyDescent="0.35">
      <c r="B47" s="1">
        <f>B46-C46</f>
        <v>0</v>
      </c>
    </row>
    <row r="51" spans="1:4" x14ac:dyDescent="0.35">
      <c r="A51" s="15" t="s">
        <v>20</v>
      </c>
    </row>
    <row r="52" spans="1:4" x14ac:dyDescent="0.35">
      <c r="A52" s="15" t="s">
        <v>35</v>
      </c>
    </row>
    <row r="53" spans="1:4" x14ac:dyDescent="0.35">
      <c r="A53" s="15" t="s">
        <v>31</v>
      </c>
    </row>
    <row r="54" spans="1:4" x14ac:dyDescent="0.35">
      <c r="A54" s="15" t="s">
        <v>0</v>
      </c>
    </row>
    <row r="55" spans="1:4" x14ac:dyDescent="0.35">
      <c r="A55" s="15" t="s">
        <v>33</v>
      </c>
    </row>
    <row r="56" spans="1:4" x14ac:dyDescent="0.35">
      <c r="A56" s="15" t="s">
        <v>34</v>
      </c>
    </row>
    <row r="57" spans="1:4" x14ac:dyDescent="0.35">
      <c r="A57" s="15" t="s">
        <v>32</v>
      </c>
    </row>
    <row r="58" spans="1:4" x14ac:dyDescent="0.35">
      <c r="A58" s="15" t="s">
        <v>36</v>
      </c>
    </row>
    <row r="59" spans="1:4" x14ac:dyDescent="0.35">
      <c r="B59" s="19" t="s">
        <v>21</v>
      </c>
      <c r="C59" s="19" t="s">
        <v>22</v>
      </c>
      <c r="D59" s="21"/>
    </row>
    <row r="60" spans="1:4" x14ac:dyDescent="0.35">
      <c r="B60" s="1" t="s">
        <v>23</v>
      </c>
      <c r="C60" s="22">
        <v>0.125</v>
      </c>
    </row>
    <row r="61" spans="1:4" x14ac:dyDescent="0.35">
      <c r="B61" s="1" t="s">
        <v>24</v>
      </c>
      <c r="C61" s="22">
        <v>0.2</v>
      </c>
    </row>
    <row r="62" spans="1:4" x14ac:dyDescent="0.35">
      <c r="B62" s="1" t="s">
        <v>25</v>
      </c>
      <c r="C62" s="22">
        <v>0.1</v>
      </c>
    </row>
    <row r="63" spans="1:4" x14ac:dyDescent="0.35">
      <c r="A63" s="15" t="s">
        <v>37</v>
      </c>
    </row>
    <row r="64" spans="1:4" x14ac:dyDescent="0.35">
      <c r="A64" s="15" t="s">
        <v>38</v>
      </c>
    </row>
    <row r="65" spans="1:3" x14ac:dyDescent="0.35">
      <c r="A65" s="15" t="s">
        <v>40</v>
      </c>
    </row>
    <row r="66" spans="1:3" x14ac:dyDescent="0.35">
      <c r="A66" s="15" t="s">
        <v>41</v>
      </c>
    </row>
    <row r="67" spans="1:3" x14ac:dyDescent="0.35">
      <c r="A67" s="15" t="s">
        <v>39</v>
      </c>
    </row>
    <row r="69" spans="1:3" x14ac:dyDescent="0.35">
      <c r="A69" s="15" t="s">
        <v>26</v>
      </c>
    </row>
    <row r="70" spans="1:3" x14ac:dyDescent="0.35">
      <c r="A70" s="15" t="s">
        <v>43</v>
      </c>
    </row>
    <row r="71" spans="1:3" x14ac:dyDescent="0.35">
      <c r="A71" s="15" t="s">
        <v>44</v>
      </c>
    </row>
    <row r="72" spans="1:3" x14ac:dyDescent="0.35">
      <c r="A72" s="15" t="s">
        <v>42</v>
      </c>
    </row>
    <row r="73" spans="1:3" x14ac:dyDescent="0.35">
      <c r="A73" s="15" t="s">
        <v>27</v>
      </c>
    </row>
    <row r="74" spans="1:3" x14ac:dyDescent="0.35">
      <c r="A74" s="15" t="s">
        <v>28</v>
      </c>
    </row>
    <row r="75" spans="1:3" x14ac:dyDescent="0.35">
      <c r="A75" s="15" t="s">
        <v>0</v>
      </c>
    </row>
    <row r="76" spans="1:3" x14ac:dyDescent="0.35">
      <c r="A76" s="15" t="s">
        <v>29</v>
      </c>
      <c r="B76" s="1" t="s">
        <v>0</v>
      </c>
      <c r="C76" s="1" t="s">
        <v>0</v>
      </c>
    </row>
    <row r="77" spans="1:3" x14ac:dyDescent="0.35">
      <c r="A77" s="15" t="s">
        <v>0</v>
      </c>
    </row>
    <row r="78" spans="1:3" x14ac:dyDescent="0.35">
      <c r="A78" s="15" t="s">
        <v>30</v>
      </c>
      <c r="B78" s="1" t="s">
        <v>0</v>
      </c>
      <c r="C78" s="1" t="s">
        <v>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E699-B560-4041-9CFA-9E796430B48D}">
  <dimension ref="A1:F51"/>
  <sheetViews>
    <sheetView topLeftCell="B1" workbookViewId="0">
      <selection activeCell="B34" sqref="B34:C34"/>
    </sheetView>
  </sheetViews>
  <sheetFormatPr defaultColWidth="9.1796875" defaultRowHeight="15.5" x14ac:dyDescent="0.35"/>
  <cols>
    <col min="1" max="1" width="45.1796875" style="1" customWidth="1"/>
    <col min="2" max="2" width="20.7265625" style="1" customWidth="1"/>
    <col min="3" max="3" width="14.453125" style="1" customWidth="1"/>
    <col min="4" max="4" width="10.54296875" style="1" bestFit="1" customWidth="1"/>
    <col min="5" max="16384" width="9.1796875" style="1"/>
  </cols>
  <sheetData>
    <row r="1" spans="1:3" x14ac:dyDescent="0.35">
      <c r="A1" s="1" t="s">
        <v>78</v>
      </c>
    </row>
    <row r="2" spans="1:3" x14ac:dyDescent="0.35">
      <c r="B2" s="1" t="s">
        <v>87</v>
      </c>
      <c r="C2" s="1" t="s">
        <v>87</v>
      </c>
    </row>
    <row r="3" spans="1:3" x14ac:dyDescent="0.35">
      <c r="A3" s="1" t="s">
        <v>52</v>
      </c>
      <c r="C3" s="1">
        <v>78000</v>
      </c>
    </row>
    <row r="4" spans="1:3" x14ac:dyDescent="0.35">
      <c r="A4" s="1" t="s">
        <v>53</v>
      </c>
      <c r="C4" s="1">
        <v>13000</v>
      </c>
    </row>
    <row r="5" spans="1:3" x14ac:dyDescent="0.35">
      <c r="A5" s="1" t="s">
        <v>54</v>
      </c>
      <c r="C5" s="1">
        <v>10400</v>
      </c>
    </row>
    <row r="6" spans="1:3" x14ac:dyDescent="0.35">
      <c r="A6" s="1" t="s">
        <v>55</v>
      </c>
      <c r="C6" s="1">
        <v>13000</v>
      </c>
    </row>
    <row r="7" spans="1:3" x14ac:dyDescent="0.35">
      <c r="A7" s="1" t="s">
        <v>56</v>
      </c>
      <c r="C7" s="1">
        <v>19240</v>
      </c>
    </row>
    <row r="8" spans="1:3" x14ac:dyDescent="0.35">
      <c r="A8" s="1" t="s">
        <v>57</v>
      </c>
      <c r="B8" s="1">
        <v>42900</v>
      </c>
    </row>
    <row r="9" spans="1:3" x14ac:dyDescent="0.35">
      <c r="A9" s="1" t="s">
        <v>58</v>
      </c>
      <c r="C9" s="1">
        <v>724000</v>
      </c>
    </row>
    <row r="10" spans="1:3" x14ac:dyDescent="0.35">
      <c r="A10" s="1" t="s">
        <v>59</v>
      </c>
      <c r="B10" s="1">
        <v>548600</v>
      </c>
    </row>
    <row r="11" spans="1:3" x14ac:dyDescent="0.35">
      <c r="A11" s="1" t="s">
        <v>60</v>
      </c>
      <c r="B11" s="1">
        <v>650</v>
      </c>
    </row>
    <row r="12" spans="1:3" x14ac:dyDescent="0.35">
      <c r="A12" s="1" t="s">
        <v>61</v>
      </c>
      <c r="C12" s="1">
        <v>1690</v>
      </c>
    </row>
    <row r="13" spans="1:3" x14ac:dyDescent="0.35">
      <c r="A13" s="1" t="s">
        <v>63</v>
      </c>
      <c r="B13" s="1">
        <v>165000</v>
      </c>
    </row>
    <row r="14" spans="1:3" x14ac:dyDescent="0.35">
      <c r="A14" s="1" t="s">
        <v>64</v>
      </c>
      <c r="B14" s="1">
        <v>83200</v>
      </c>
    </row>
    <row r="15" spans="1:3" x14ac:dyDescent="0.35">
      <c r="A15" s="1" t="s">
        <v>66</v>
      </c>
      <c r="C15" s="1" t="s">
        <v>65</v>
      </c>
    </row>
    <row r="16" spans="1:3" x14ac:dyDescent="0.35">
      <c r="A16" s="1" t="s">
        <v>67</v>
      </c>
      <c r="C16" s="1">
        <f>6500</f>
        <v>6500</v>
      </c>
    </row>
    <row r="17" spans="1:3" x14ac:dyDescent="0.35">
      <c r="A17" s="1" t="s">
        <v>68</v>
      </c>
      <c r="C17" s="1">
        <f>33280</f>
        <v>33280</v>
      </c>
    </row>
    <row r="18" spans="1:3" x14ac:dyDescent="0.35">
      <c r="A18" s="1" t="s">
        <v>69</v>
      </c>
      <c r="B18" s="1">
        <v>54600</v>
      </c>
    </row>
    <row r="19" spans="1:3" x14ac:dyDescent="0.35">
      <c r="A19" s="1" t="s">
        <v>70</v>
      </c>
      <c r="C19" s="1">
        <v>10400</v>
      </c>
    </row>
    <row r="20" spans="1:3" x14ac:dyDescent="0.35">
      <c r="A20" s="1" t="s">
        <v>71</v>
      </c>
      <c r="B20" s="1">
        <v>16900</v>
      </c>
    </row>
    <row r="21" spans="1:3" x14ac:dyDescent="0.35">
      <c r="A21" s="1" t="s">
        <v>72</v>
      </c>
      <c r="B21" s="1">
        <v>21710</v>
      </c>
    </row>
    <row r="22" spans="1:3" x14ac:dyDescent="0.35">
      <c r="A22" s="1" t="s">
        <v>73</v>
      </c>
      <c r="B22" s="1">
        <f>520</f>
        <v>520</v>
      </c>
    </row>
    <row r="23" spans="1:3" x14ac:dyDescent="0.35">
      <c r="A23" s="1" t="s">
        <v>74</v>
      </c>
      <c r="C23" s="1">
        <f>2340</f>
        <v>2340</v>
      </c>
    </row>
    <row r="24" spans="1:3" x14ac:dyDescent="0.35">
      <c r="A24" s="1" t="s">
        <v>5</v>
      </c>
      <c r="B24" s="1">
        <f>7280</f>
        <v>7280</v>
      </c>
      <c r="C24" s="1">
        <v>0</v>
      </c>
    </row>
    <row r="25" spans="1:3" x14ac:dyDescent="0.35">
      <c r="A25" s="1" t="s">
        <v>75</v>
      </c>
      <c r="C25" s="1">
        <v>47060</v>
      </c>
    </row>
    <row r="26" spans="1:3" x14ac:dyDescent="0.35">
      <c r="A26" s="1" t="s">
        <v>76</v>
      </c>
      <c r="B26" s="1">
        <v>20800</v>
      </c>
      <c r="C26" s="1">
        <v>0</v>
      </c>
    </row>
    <row r="27" spans="1:3" x14ac:dyDescent="0.35">
      <c r="A27" s="1" t="s">
        <v>77</v>
      </c>
      <c r="C27" s="1">
        <v>3250</v>
      </c>
    </row>
    <row r="28" spans="1:3" x14ac:dyDescent="0.35">
      <c r="B28" s="18"/>
      <c r="C28" s="18"/>
    </row>
    <row r="29" spans="1:3" ht="16" thickBot="1" x14ac:dyDescent="0.4">
      <c r="B29" s="4">
        <f>SUM(B3:B28)</f>
        <v>962160</v>
      </c>
      <c r="C29" s="4">
        <f>SUM(C3:C28)</f>
        <v>962160</v>
      </c>
    </row>
    <row r="30" spans="1:3" ht="16" thickTop="1" x14ac:dyDescent="0.35">
      <c r="B30" s="18">
        <f>B29-C29</f>
        <v>0</v>
      </c>
      <c r="C30" s="18"/>
    </row>
    <row r="32" spans="1:3" x14ac:dyDescent="0.35">
      <c r="A32" s="1" t="s">
        <v>79</v>
      </c>
    </row>
    <row r="33" spans="1:3" x14ac:dyDescent="0.35">
      <c r="A33" s="1" t="s">
        <v>95</v>
      </c>
    </row>
    <row r="34" spans="1:3" x14ac:dyDescent="0.35">
      <c r="B34" s="19" t="s">
        <v>80</v>
      </c>
      <c r="C34" s="19" t="s">
        <v>81</v>
      </c>
    </row>
    <row r="35" spans="1:3" x14ac:dyDescent="0.35">
      <c r="B35" s="1" t="s">
        <v>82</v>
      </c>
      <c r="C35" s="1">
        <v>20</v>
      </c>
    </row>
    <row r="36" spans="1:3" x14ac:dyDescent="0.35">
      <c r="B36" s="1" t="s">
        <v>83</v>
      </c>
      <c r="C36" s="3">
        <v>12.5</v>
      </c>
    </row>
    <row r="37" spans="1:3" x14ac:dyDescent="0.35">
      <c r="A37" s="1" t="s">
        <v>322</v>
      </c>
    </row>
    <row r="38" spans="1:3" x14ac:dyDescent="0.35">
      <c r="A38" s="1" t="s">
        <v>323</v>
      </c>
    </row>
    <row r="39" spans="1:3" x14ac:dyDescent="0.35">
      <c r="A39" s="1" t="s">
        <v>94</v>
      </c>
    </row>
    <row r="40" spans="1:3" x14ac:dyDescent="0.35">
      <c r="A40" s="1" t="s">
        <v>93</v>
      </c>
    </row>
    <row r="41" spans="1:3" x14ac:dyDescent="0.35">
      <c r="A41" s="1" t="s">
        <v>92</v>
      </c>
    </row>
    <row r="42" spans="1:3" x14ac:dyDescent="0.35">
      <c r="A42" s="1" t="s">
        <v>91</v>
      </c>
    </row>
    <row r="43" spans="1:3" x14ac:dyDescent="0.35">
      <c r="A43" s="1" t="s">
        <v>90</v>
      </c>
    </row>
    <row r="44" spans="1:3" x14ac:dyDescent="0.35">
      <c r="A44" s="1" t="s">
        <v>324</v>
      </c>
    </row>
    <row r="45" spans="1:3" x14ac:dyDescent="0.35">
      <c r="A45" s="1" t="s">
        <v>325</v>
      </c>
    </row>
    <row r="46" spans="1:3" x14ac:dyDescent="0.35">
      <c r="A46" s="1" t="s">
        <v>89</v>
      </c>
    </row>
    <row r="47" spans="1:3" x14ac:dyDescent="0.35">
      <c r="A47" s="1" t="s">
        <v>0</v>
      </c>
      <c r="B47" s="1" t="s">
        <v>84</v>
      </c>
      <c r="C47" s="1" t="s">
        <v>0</v>
      </c>
    </row>
    <row r="48" spans="1:3" x14ac:dyDescent="0.35">
      <c r="A48" s="5" t="s">
        <v>27</v>
      </c>
    </row>
    <row r="49" spans="1:6" x14ac:dyDescent="0.35">
      <c r="A49" s="1" t="s">
        <v>88</v>
      </c>
      <c r="F49" s="1" t="s">
        <v>85</v>
      </c>
    </row>
    <row r="50" spans="1:6" x14ac:dyDescent="0.35">
      <c r="A50" t="s">
        <v>247</v>
      </c>
    </row>
    <row r="51" spans="1:6" x14ac:dyDescent="0.35">
      <c r="A51" s="1" t="s">
        <v>248</v>
      </c>
      <c r="B51" s="1" t="s">
        <v>0</v>
      </c>
      <c r="F51" s="1" t="s">
        <v>86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DD0AB-4214-472D-AD7D-220C8848DABC}">
  <dimension ref="A1"/>
  <sheetViews>
    <sheetView topLeftCell="A28" workbookViewId="0">
      <selection activeCell="G60" sqref="G6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AF5E-8966-45F3-A106-DAE0DF69C888}">
  <dimension ref="A1:C70"/>
  <sheetViews>
    <sheetView topLeftCell="A51" workbookViewId="0">
      <selection activeCell="A68" sqref="A68"/>
    </sheetView>
  </sheetViews>
  <sheetFormatPr defaultColWidth="9.1796875" defaultRowHeight="15.5" x14ac:dyDescent="0.35"/>
  <cols>
    <col min="1" max="1" width="47.26953125" style="5" customWidth="1"/>
    <col min="2" max="2" width="12.7265625" style="5" bestFit="1" customWidth="1"/>
    <col min="3" max="3" width="23.26953125" style="5" customWidth="1"/>
    <col min="4" max="16384" width="9.1796875" style="5"/>
  </cols>
  <sheetData>
    <row r="1" spans="1:3" x14ac:dyDescent="0.35">
      <c r="A1" s="6" t="s">
        <v>168</v>
      </c>
    </row>
    <row r="3" spans="1:3" x14ac:dyDescent="0.35">
      <c r="A3" s="7"/>
      <c r="B3" s="8"/>
      <c r="C3" s="8"/>
    </row>
    <row r="4" spans="1:3" x14ac:dyDescent="0.35">
      <c r="A4" s="9"/>
      <c r="B4" s="10" t="s">
        <v>62</v>
      </c>
      <c r="C4" s="10" t="s">
        <v>62</v>
      </c>
    </row>
    <row r="5" spans="1:3" x14ac:dyDescent="0.35">
      <c r="A5" s="5" t="s">
        <v>169</v>
      </c>
      <c r="C5" s="5">
        <v>2500000</v>
      </c>
    </row>
    <row r="6" spans="1:3" x14ac:dyDescent="0.35">
      <c r="A6" s="5" t="s">
        <v>8</v>
      </c>
      <c r="C6" s="5">
        <v>500000</v>
      </c>
    </row>
    <row r="7" spans="1:3" x14ac:dyDescent="0.35">
      <c r="A7" s="5" t="s">
        <v>170</v>
      </c>
      <c r="C7" s="5">
        <v>600000</v>
      </c>
    </row>
    <row r="8" spans="1:3" x14ac:dyDescent="0.35">
      <c r="A8" s="5" t="s">
        <v>171</v>
      </c>
      <c r="C8" s="5">
        <v>3570000</v>
      </c>
    </row>
    <row r="9" spans="1:3" x14ac:dyDescent="0.35">
      <c r="A9" s="5" t="s">
        <v>2</v>
      </c>
      <c r="C9" s="5">
        <v>17400000</v>
      </c>
    </row>
    <row r="10" spans="1:3" x14ac:dyDescent="0.35">
      <c r="A10" s="5" t="s">
        <v>122</v>
      </c>
      <c r="B10" s="5">
        <v>3000000</v>
      </c>
    </row>
    <row r="11" spans="1:3" x14ac:dyDescent="0.35">
      <c r="A11" s="5" t="s">
        <v>172</v>
      </c>
      <c r="B11" s="5">
        <v>2400000</v>
      </c>
    </row>
    <row r="12" spans="1:3" x14ac:dyDescent="0.35">
      <c r="A12" s="5" t="s">
        <v>5</v>
      </c>
      <c r="B12" s="5">
        <v>1960000</v>
      </c>
    </row>
    <row r="13" spans="1:3" x14ac:dyDescent="0.35">
      <c r="A13" s="5" t="s">
        <v>173</v>
      </c>
      <c r="B13" s="5">
        <v>740000</v>
      </c>
    </row>
    <row r="14" spans="1:3" x14ac:dyDescent="0.35">
      <c r="A14" s="5" t="s">
        <v>174</v>
      </c>
      <c r="B14" s="5">
        <v>100000</v>
      </c>
    </row>
    <row r="15" spans="1:3" x14ac:dyDescent="0.35">
      <c r="A15" s="5" t="s">
        <v>175</v>
      </c>
      <c r="B15" s="5">
        <v>940000</v>
      </c>
      <c r="C15" s="11"/>
    </row>
    <row r="16" spans="1:3" x14ac:dyDescent="0.35">
      <c r="A16" s="5" t="s">
        <v>176</v>
      </c>
      <c r="B16" s="5">
        <v>3400000</v>
      </c>
      <c r="C16" s="11"/>
    </row>
    <row r="17" spans="1:3" x14ac:dyDescent="0.35">
      <c r="A17" s="5" t="s">
        <v>177</v>
      </c>
      <c r="B17" s="5">
        <v>9000000</v>
      </c>
      <c r="C17" s="11"/>
    </row>
    <row r="18" spans="1:3" x14ac:dyDescent="0.35">
      <c r="A18" s="5" t="s">
        <v>178</v>
      </c>
      <c r="B18" s="5">
        <v>4400000</v>
      </c>
    </row>
    <row r="19" spans="1:3" x14ac:dyDescent="0.35">
      <c r="A19" s="5" t="s">
        <v>179</v>
      </c>
    </row>
    <row r="20" spans="1:3" x14ac:dyDescent="0.35">
      <c r="A20" s="2" t="s">
        <v>180</v>
      </c>
      <c r="C20" s="5">
        <v>800000</v>
      </c>
    </row>
    <row r="21" spans="1:3" x14ac:dyDescent="0.35">
      <c r="A21" s="2" t="s">
        <v>139</v>
      </c>
      <c r="C21" s="5">
        <v>900000</v>
      </c>
    </row>
    <row r="22" spans="1:3" x14ac:dyDescent="0.35">
      <c r="A22" s="5" t="s">
        <v>181</v>
      </c>
      <c r="B22" s="5">
        <v>1000000</v>
      </c>
    </row>
    <row r="23" spans="1:3" x14ac:dyDescent="0.35">
      <c r="A23" s="5" t="s">
        <v>182</v>
      </c>
      <c r="C23" s="5">
        <v>100000</v>
      </c>
    </row>
    <row r="24" spans="1:3" x14ac:dyDescent="0.35">
      <c r="A24" s="5" t="s">
        <v>183</v>
      </c>
      <c r="B24" s="5">
        <v>100000</v>
      </c>
    </row>
    <row r="25" spans="1:3" x14ac:dyDescent="0.35">
      <c r="A25" s="5" t="s">
        <v>6</v>
      </c>
      <c r="B25" s="5">
        <v>800000</v>
      </c>
    </row>
    <row r="26" spans="1:3" x14ac:dyDescent="0.35">
      <c r="A26" s="5" t="s">
        <v>51</v>
      </c>
      <c r="B26" s="5">
        <v>700000</v>
      </c>
    </row>
    <row r="27" spans="1:3" x14ac:dyDescent="0.35">
      <c r="A27" s="5" t="s">
        <v>184</v>
      </c>
      <c r="C27" s="5">
        <v>800000</v>
      </c>
    </row>
    <row r="28" spans="1:3" x14ac:dyDescent="0.35">
      <c r="A28" s="5" t="s">
        <v>185</v>
      </c>
      <c r="C28" s="5">
        <v>2000000</v>
      </c>
    </row>
    <row r="29" spans="1:3" x14ac:dyDescent="0.35">
      <c r="A29" s="5" t="s">
        <v>186</v>
      </c>
      <c r="B29" s="5">
        <v>700000</v>
      </c>
    </row>
    <row r="30" spans="1:3" x14ac:dyDescent="0.35">
      <c r="A30" s="5" t="s">
        <v>187</v>
      </c>
      <c r="C30" s="5">
        <v>70000</v>
      </c>
    </row>
    <row r="31" spans="1:3" ht="16" thickBot="1" x14ac:dyDescent="0.4">
      <c r="B31" s="12">
        <f>SUM(B5:B30)</f>
        <v>29240000</v>
      </c>
      <c r="C31" s="12">
        <f>SUM(C5:C30)</f>
        <v>29240000</v>
      </c>
    </row>
    <row r="32" spans="1:3" ht="16" thickTop="1" x14ac:dyDescent="0.35">
      <c r="A32" s="13" t="s">
        <v>20</v>
      </c>
    </row>
    <row r="33" spans="1:1" x14ac:dyDescent="0.35">
      <c r="A33" s="6" t="s">
        <v>188</v>
      </c>
    </row>
    <row r="34" spans="1:1" x14ac:dyDescent="0.35">
      <c r="A34" s="6" t="s">
        <v>189</v>
      </c>
    </row>
    <row r="35" spans="1:1" x14ac:dyDescent="0.35">
      <c r="A35" s="6" t="s">
        <v>190</v>
      </c>
    </row>
    <row r="36" spans="1:1" x14ac:dyDescent="0.35">
      <c r="A36" s="6" t="s">
        <v>191</v>
      </c>
    </row>
    <row r="37" spans="1:1" x14ac:dyDescent="0.35">
      <c r="A37" s="6" t="s">
        <v>192</v>
      </c>
    </row>
    <row r="38" spans="1:1" x14ac:dyDescent="0.35">
      <c r="A38" s="6" t="s">
        <v>193</v>
      </c>
    </row>
    <row r="39" spans="1:1" x14ac:dyDescent="0.35">
      <c r="A39" s="6" t="s">
        <v>194</v>
      </c>
    </row>
    <row r="40" spans="1:1" x14ac:dyDescent="0.35">
      <c r="A40" s="6" t="s">
        <v>195</v>
      </c>
    </row>
    <row r="41" spans="1:1" x14ac:dyDescent="0.35">
      <c r="A41" s="6" t="s">
        <v>196</v>
      </c>
    </row>
    <row r="42" spans="1:1" x14ac:dyDescent="0.35">
      <c r="A42" s="6" t="s">
        <v>197</v>
      </c>
    </row>
    <row r="43" spans="1:1" x14ac:dyDescent="0.35">
      <c r="A43" s="6" t="s">
        <v>198</v>
      </c>
    </row>
    <row r="44" spans="1:1" x14ac:dyDescent="0.35">
      <c r="A44" s="6" t="s">
        <v>326</v>
      </c>
    </row>
    <row r="45" spans="1:1" x14ac:dyDescent="0.35">
      <c r="A45" s="6" t="s">
        <v>327</v>
      </c>
    </row>
    <row r="46" spans="1:1" x14ac:dyDescent="0.35">
      <c r="A46" s="6" t="s">
        <v>329</v>
      </c>
    </row>
    <row r="47" spans="1:1" x14ac:dyDescent="0.35">
      <c r="A47" s="6" t="s">
        <v>328</v>
      </c>
    </row>
    <row r="48" spans="1:1" x14ac:dyDescent="0.35">
      <c r="A48" s="6" t="s">
        <v>330</v>
      </c>
    </row>
    <row r="49" spans="1:1" x14ac:dyDescent="0.35">
      <c r="A49" s="6" t="s">
        <v>331</v>
      </c>
    </row>
    <row r="50" spans="1:1" x14ac:dyDescent="0.35">
      <c r="A50" s="6" t="s">
        <v>332</v>
      </c>
    </row>
    <row r="51" spans="1:1" x14ac:dyDescent="0.35">
      <c r="A51" s="6" t="s">
        <v>333</v>
      </c>
    </row>
    <row r="52" spans="1:1" x14ac:dyDescent="0.35">
      <c r="A52" s="6" t="s">
        <v>199</v>
      </c>
    </row>
    <row r="53" spans="1:1" x14ac:dyDescent="0.35">
      <c r="A53" s="6" t="s">
        <v>200</v>
      </c>
    </row>
    <row r="54" spans="1:1" x14ac:dyDescent="0.35">
      <c r="A54" s="6" t="s">
        <v>201</v>
      </c>
    </row>
    <row r="55" spans="1:1" x14ac:dyDescent="0.35">
      <c r="A55" s="6" t="s">
        <v>202</v>
      </c>
    </row>
    <row r="56" spans="1:1" x14ac:dyDescent="0.35">
      <c r="A56" s="13" t="s">
        <v>334</v>
      </c>
    </row>
    <row r="57" spans="1:1" x14ac:dyDescent="0.35">
      <c r="A57" s="13" t="s">
        <v>335</v>
      </c>
    </row>
    <row r="58" spans="1:1" x14ac:dyDescent="0.35">
      <c r="A58" s="6" t="s">
        <v>203</v>
      </c>
    </row>
    <row r="59" spans="1:1" x14ac:dyDescent="0.35">
      <c r="A59" s="6" t="s">
        <v>204</v>
      </c>
    </row>
    <row r="60" spans="1:1" x14ac:dyDescent="0.35">
      <c r="A60" s="6" t="s">
        <v>205</v>
      </c>
    </row>
    <row r="61" spans="1:1" x14ac:dyDescent="0.35">
      <c r="A61" s="6" t="s">
        <v>336</v>
      </c>
    </row>
    <row r="62" spans="1:1" x14ac:dyDescent="0.35">
      <c r="A62" s="6" t="s">
        <v>337</v>
      </c>
    </row>
    <row r="63" spans="1:1" x14ac:dyDescent="0.35">
      <c r="A63" s="13" t="s">
        <v>27</v>
      </c>
    </row>
    <row r="64" spans="1:1" x14ac:dyDescent="0.35">
      <c r="A64" s="6" t="s">
        <v>206</v>
      </c>
    </row>
    <row r="65" spans="1:1" x14ac:dyDescent="0.35">
      <c r="A65" s="6" t="s">
        <v>207</v>
      </c>
    </row>
    <row r="69" spans="1:1" x14ac:dyDescent="0.35">
      <c r="A69" s="6"/>
    </row>
    <row r="70" spans="1:1" x14ac:dyDescent="0.35">
      <c r="A70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8AE3-3A8D-4D76-8778-32F47A2F870D}">
  <dimension ref="A1:P94"/>
  <sheetViews>
    <sheetView topLeftCell="H75" zoomScale="85" zoomScaleNormal="85" workbookViewId="0">
      <selection activeCell="L56" sqref="L56:M94"/>
    </sheetView>
  </sheetViews>
  <sheetFormatPr defaultColWidth="9.1796875" defaultRowHeight="15.5" x14ac:dyDescent="0.35"/>
  <cols>
    <col min="1" max="1" width="62.26953125" style="25" customWidth="1"/>
    <col min="2" max="2" width="20.26953125" style="25" customWidth="1"/>
    <col min="3" max="3" width="25.7265625" style="25" customWidth="1"/>
    <col min="4" max="4" width="2.1796875" style="25" customWidth="1"/>
    <col min="5" max="5" width="11.90625" style="25" bestFit="1" customWidth="1"/>
    <col min="6" max="6" width="9.1796875" style="25"/>
    <col min="7" max="7" width="44.26953125" style="25" customWidth="1"/>
    <col min="8" max="8" width="20.90625" style="25" bestFit="1" customWidth="1"/>
    <col min="9" max="9" width="23.7265625" style="25" bestFit="1" customWidth="1"/>
    <col min="10" max="10" width="26.81640625" style="25" bestFit="1" customWidth="1"/>
    <col min="11" max="11" width="19.08984375" style="25" customWidth="1"/>
    <col min="12" max="12" width="28.6328125" style="25" customWidth="1"/>
    <col min="13" max="13" width="17.1796875" style="25" customWidth="1"/>
    <col min="14" max="14" width="15.81640625" style="25" bestFit="1" customWidth="1"/>
    <col min="15" max="15" width="18.7265625" style="25" customWidth="1"/>
    <col min="16" max="16" width="11.90625" style="25" bestFit="1" customWidth="1"/>
    <col min="17" max="16384" width="9.1796875" style="25"/>
  </cols>
  <sheetData>
    <row r="1" spans="1:13" x14ac:dyDescent="0.35">
      <c r="A1" s="14"/>
      <c r="B1" s="14"/>
      <c r="C1" s="14" t="s">
        <v>115</v>
      </c>
      <c r="D1" s="14"/>
    </row>
    <row r="2" spans="1:13" x14ac:dyDescent="0.35">
      <c r="A2" s="16" t="s">
        <v>116</v>
      </c>
      <c r="B2" s="16"/>
      <c r="C2" s="16"/>
      <c r="D2" s="16"/>
    </row>
    <row r="3" spans="1:13" x14ac:dyDescent="0.35">
      <c r="A3" s="26" t="s">
        <v>117</v>
      </c>
      <c r="B3" s="26"/>
      <c r="C3" s="26"/>
      <c r="D3" s="26"/>
      <c r="G3" s="76" t="s">
        <v>262</v>
      </c>
      <c r="H3" s="76" t="s">
        <v>405</v>
      </c>
      <c r="I3" s="76" t="s">
        <v>502</v>
      </c>
      <c r="J3" s="76" t="s">
        <v>503</v>
      </c>
      <c r="K3" s="76" t="s">
        <v>246</v>
      </c>
      <c r="L3" s="76" t="s">
        <v>505</v>
      </c>
      <c r="M3" s="76" t="s">
        <v>504</v>
      </c>
    </row>
    <row r="4" spans="1:13" x14ac:dyDescent="0.35">
      <c r="A4" s="15" t="s">
        <v>118</v>
      </c>
      <c r="B4" s="15"/>
      <c r="C4" s="15"/>
      <c r="D4" s="28"/>
      <c r="G4" s="77" t="s">
        <v>506</v>
      </c>
      <c r="H4" s="77" t="s">
        <v>506</v>
      </c>
      <c r="I4" s="77" t="s">
        <v>506</v>
      </c>
      <c r="J4" s="77" t="s">
        <v>506</v>
      </c>
      <c r="K4" s="77"/>
      <c r="L4" s="77" t="s">
        <v>506</v>
      </c>
      <c r="M4" s="77" t="s">
        <v>506</v>
      </c>
    </row>
    <row r="5" spans="1:13" x14ac:dyDescent="0.35">
      <c r="A5" s="16"/>
      <c r="B5" s="15" t="s">
        <v>119</v>
      </c>
      <c r="C5" s="15" t="s">
        <v>120</v>
      </c>
      <c r="D5" s="28"/>
      <c r="G5" s="78" t="s">
        <v>122</v>
      </c>
      <c r="H5" s="79">
        <f>B8</f>
        <v>417000</v>
      </c>
      <c r="I5" s="79"/>
      <c r="J5" s="79"/>
      <c r="K5" s="79"/>
      <c r="L5" s="79"/>
      <c r="M5" s="79"/>
    </row>
    <row r="6" spans="1:13" x14ac:dyDescent="0.35">
      <c r="A6" s="15"/>
      <c r="B6" s="27" t="s">
        <v>121</v>
      </c>
      <c r="C6" s="27" t="s">
        <v>121</v>
      </c>
      <c r="D6" s="15"/>
      <c r="G6" s="78" t="s">
        <v>507</v>
      </c>
      <c r="H6" s="79">
        <f>B9</f>
        <v>111000</v>
      </c>
      <c r="I6" s="79"/>
      <c r="J6" s="79"/>
      <c r="K6" s="79"/>
      <c r="L6" s="79"/>
      <c r="M6" s="79"/>
    </row>
    <row r="7" spans="1:13" x14ac:dyDescent="0.35">
      <c r="A7" s="15" t="s">
        <v>2</v>
      </c>
      <c r="B7" s="29"/>
      <c r="C7" s="29">
        <v>662000</v>
      </c>
      <c r="D7" s="28"/>
      <c r="G7" s="78" t="s">
        <v>4</v>
      </c>
      <c r="H7" s="79"/>
      <c r="I7" s="79">
        <f>B11</f>
        <v>86500</v>
      </c>
      <c r="J7" s="79">
        <f>B10</f>
        <v>128000</v>
      </c>
      <c r="K7" s="79"/>
      <c r="L7" s="79"/>
      <c r="M7" s="79"/>
    </row>
    <row r="8" spans="1:13" x14ac:dyDescent="0.35">
      <c r="A8" s="15" t="s">
        <v>122</v>
      </c>
      <c r="B8" s="29">
        <v>417000</v>
      </c>
      <c r="C8" s="29"/>
      <c r="D8" s="28"/>
      <c r="G8" s="80" t="s">
        <v>125</v>
      </c>
      <c r="H8" s="79"/>
      <c r="I8" s="79"/>
      <c r="J8" s="79"/>
      <c r="K8" s="79"/>
      <c r="L8" s="79"/>
      <c r="M8" s="79"/>
    </row>
    <row r="9" spans="1:13" x14ac:dyDescent="0.35">
      <c r="A9" s="15" t="s">
        <v>123</v>
      </c>
      <c r="B9" s="29">
        <v>111000</v>
      </c>
      <c r="C9" s="29"/>
      <c r="D9" s="28"/>
      <c r="G9" s="80" t="s">
        <v>508</v>
      </c>
      <c r="H9" s="79"/>
      <c r="I9" s="79"/>
      <c r="J9" s="79"/>
      <c r="K9" s="79">
        <f>3000</f>
        <v>3000</v>
      </c>
      <c r="L9" s="79"/>
      <c r="M9" s="79"/>
    </row>
    <row r="10" spans="1:13" x14ac:dyDescent="0.35">
      <c r="A10" s="15" t="s">
        <v>124</v>
      </c>
      <c r="B10" s="29">
        <v>128000</v>
      </c>
      <c r="C10" s="29"/>
      <c r="D10" s="28"/>
      <c r="G10" s="80" t="s">
        <v>127</v>
      </c>
      <c r="H10" s="79"/>
      <c r="I10" s="79"/>
      <c r="J10" s="79"/>
      <c r="K10" s="79"/>
      <c r="L10" s="79">
        <f>C13</f>
        <v>12000</v>
      </c>
      <c r="M10" s="79"/>
    </row>
    <row r="11" spans="1:13" x14ac:dyDescent="0.35">
      <c r="A11" s="15" t="s">
        <v>125</v>
      </c>
      <c r="B11" s="29">
        <v>86500</v>
      </c>
      <c r="C11" s="29"/>
      <c r="D11" s="28"/>
      <c r="E11" s="70">
        <f>8%*C26</f>
        <v>3000</v>
      </c>
      <c r="G11" s="78" t="s">
        <v>509</v>
      </c>
      <c r="H11" s="79"/>
      <c r="I11" s="79">
        <v>3750</v>
      </c>
      <c r="J11" s="79"/>
      <c r="K11" s="79"/>
      <c r="L11" s="79"/>
      <c r="M11" s="79"/>
    </row>
    <row r="12" spans="1:13" x14ac:dyDescent="0.35">
      <c r="A12" s="15" t="s">
        <v>126</v>
      </c>
      <c r="B12" s="29">
        <v>1500</v>
      </c>
      <c r="C12" s="29"/>
      <c r="D12" s="28"/>
      <c r="G12" s="78" t="s">
        <v>510</v>
      </c>
      <c r="H12" s="79">
        <f>H39</f>
        <v>6000</v>
      </c>
      <c r="I12" s="79"/>
      <c r="J12" s="79"/>
      <c r="K12" s="79"/>
      <c r="L12" s="79"/>
      <c r="M12" s="79"/>
    </row>
    <row r="13" spans="1:13" x14ac:dyDescent="0.35">
      <c r="A13" s="15" t="s">
        <v>127</v>
      </c>
      <c r="B13" s="29"/>
      <c r="C13" s="29">
        <v>12000</v>
      </c>
      <c r="D13" s="28"/>
      <c r="G13" s="78" t="s">
        <v>511</v>
      </c>
      <c r="H13" s="79">
        <v>-95250</v>
      </c>
      <c r="I13" s="79"/>
      <c r="J13" s="79"/>
      <c r="K13" s="79"/>
      <c r="L13" s="79"/>
      <c r="M13" s="79"/>
    </row>
    <row r="14" spans="1:13" x14ac:dyDescent="0.35">
      <c r="A14" s="15" t="s">
        <v>128</v>
      </c>
      <c r="B14" s="29">
        <v>210000</v>
      </c>
      <c r="C14" s="29"/>
      <c r="D14" s="28"/>
      <c r="G14" s="78" t="s">
        <v>516</v>
      </c>
      <c r="H14" s="79">
        <v>1250</v>
      </c>
      <c r="I14" s="79"/>
      <c r="J14" s="79"/>
      <c r="K14" s="79"/>
      <c r="L14" s="79"/>
      <c r="M14" s="79"/>
    </row>
    <row r="15" spans="1:13" x14ac:dyDescent="0.35">
      <c r="A15" s="15" t="s">
        <v>129</v>
      </c>
      <c r="B15" s="29"/>
      <c r="C15" s="29">
        <v>30000</v>
      </c>
      <c r="D15" s="28"/>
      <c r="G15" s="78" t="s">
        <v>352</v>
      </c>
      <c r="H15" s="79"/>
      <c r="I15" s="79"/>
      <c r="J15" s="79"/>
      <c r="K15" s="79"/>
      <c r="L15" s="79"/>
      <c r="M15" s="79">
        <v>13750</v>
      </c>
    </row>
    <row r="16" spans="1:13" x14ac:dyDescent="0.35">
      <c r="A16" s="15" t="s">
        <v>130</v>
      </c>
      <c r="B16" s="29">
        <v>64500</v>
      </c>
      <c r="C16" s="29"/>
      <c r="D16" s="28"/>
      <c r="G16" s="78" t="s">
        <v>356</v>
      </c>
      <c r="H16" s="79"/>
      <c r="I16" s="79"/>
      <c r="J16" s="79"/>
      <c r="K16" s="79"/>
      <c r="L16" s="79"/>
      <c r="M16" s="79">
        <v>-4250</v>
      </c>
    </row>
    <row r="17" spans="1:13" x14ac:dyDescent="0.35">
      <c r="A17" s="15" t="s">
        <v>129</v>
      </c>
      <c r="B17" s="29"/>
      <c r="C17" s="29">
        <v>31500</v>
      </c>
      <c r="D17" s="28"/>
      <c r="G17" s="78" t="s">
        <v>546</v>
      </c>
      <c r="H17" s="79"/>
      <c r="I17" s="79">
        <v>13000</v>
      </c>
      <c r="J17" s="79"/>
      <c r="K17" s="79"/>
      <c r="L17" s="79"/>
      <c r="M17" s="79"/>
    </row>
    <row r="18" spans="1:13" x14ac:dyDescent="0.35">
      <c r="A18" s="15" t="s">
        <v>131</v>
      </c>
      <c r="B18" s="29">
        <v>137000</v>
      </c>
      <c r="C18" s="29"/>
      <c r="D18" s="28"/>
      <c r="G18" s="78" t="s">
        <v>552</v>
      </c>
      <c r="H18" s="79"/>
      <c r="I18" s="79"/>
      <c r="J18" s="79"/>
      <c r="K18" s="79"/>
      <c r="L18" s="79">
        <v>10000</v>
      </c>
      <c r="M18" s="79"/>
    </row>
    <row r="19" spans="1:13" x14ac:dyDescent="0.35">
      <c r="A19" s="15" t="s">
        <v>132</v>
      </c>
      <c r="B19" s="29">
        <v>130000</v>
      </c>
      <c r="C19" s="29"/>
      <c r="D19" s="28"/>
      <c r="G19" s="76" t="s">
        <v>383</v>
      </c>
      <c r="H19" s="81">
        <f t="shared" ref="H19:M19" si="0">SUM(H5:H18)</f>
        <v>440000</v>
      </c>
      <c r="I19" s="81">
        <f t="shared" si="0"/>
        <v>103250</v>
      </c>
      <c r="J19" s="81">
        <f t="shared" si="0"/>
        <v>128000</v>
      </c>
      <c r="K19" s="81">
        <f t="shared" si="0"/>
        <v>3000</v>
      </c>
      <c r="L19" s="81">
        <f t="shared" si="0"/>
        <v>22000</v>
      </c>
      <c r="M19" s="81">
        <f t="shared" si="0"/>
        <v>9500</v>
      </c>
    </row>
    <row r="20" spans="1:13" x14ac:dyDescent="0.35">
      <c r="A20" s="15" t="s">
        <v>133</v>
      </c>
      <c r="B20" s="29">
        <v>8000</v>
      </c>
      <c r="C20" s="29"/>
      <c r="D20" s="28"/>
    </row>
    <row r="21" spans="1:13" x14ac:dyDescent="0.35">
      <c r="A21" s="15" t="s">
        <v>134</v>
      </c>
      <c r="B21" s="29"/>
      <c r="C21" s="29">
        <v>25000</v>
      </c>
      <c r="D21" s="28"/>
    </row>
    <row r="22" spans="1:13" x14ac:dyDescent="0.35">
      <c r="A22" s="15" t="s">
        <v>135</v>
      </c>
      <c r="B22" s="29"/>
      <c r="C22" s="29">
        <v>61000</v>
      </c>
      <c r="D22" s="28"/>
    </row>
    <row r="23" spans="1:13" x14ac:dyDescent="0.35">
      <c r="A23" s="15" t="s">
        <v>136</v>
      </c>
      <c r="B23" s="29"/>
      <c r="C23" s="29">
        <v>188250</v>
      </c>
      <c r="D23" s="28"/>
      <c r="K23" s="25" t="s">
        <v>473</v>
      </c>
    </row>
    <row r="24" spans="1:13" x14ac:dyDescent="0.35">
      <c r="A24" s="15" t="s">
        <v>137</v>
      </c>
      <c r="B24" s="29">
        <v>6500</v>
      </c>
      <c r="C24" s="29"/>
      <c r="D24" s="28"/>
      <c r="G24" s="25" t="s">
        <v>517</v>
      </c>
      <c r="H24" s="25">
        <v>3750</v>
      </c>
      <c r="J24" s="25" t="s">
        <v>2</v>
      </c>
      <c r="K24" s="70">
        <f>C7</f>
        <v>662000</v>
      </c>
    </row>
    <row r="25" spans="1:13" x14ac:dyDescent="0.35">
      <c r="A25" s="15" t="s">
        <v>138</v>
      </c>
      <c r="B25" s="29"/>
      <c r="C25" s="29">
        <v>142500</v>
      </c>
      <c r="D25" s="28"/>
      <c r="G25" s="25" t="s">
        <v>512</v>
      </c>
      <c r="H25" s="25">
        <v>750</v>
      </c>
      <c r="J25" s="25" t="s">
        <v>405</v>
      </c>
      <c r="K25" s="72">
        <f>H19</f>
        <v>440000</v>
      </c>
    </row>
    <row r="26" spans="1:13" x14ac:dyDescent="0.35">
      <c r="A26" s="15" t="s">
        <v>141</v>
      </c>
      <c r="B26" s="29"/>
      <c r="C26" s="29">
        <v>37500</v>
      </c>
      <c r="D26" s="28"/>
      <c r="E26" s="70"/>
      <c r="G26" s="25" t="s">
        <v>513</v>
      </c>
      <c r="H26" s="25">
        <f>H24-H25</f>
        <v>3000</v>
      </c>
      <c r="J26" s="69" t="s">
        <v>478</v>
      </c>
      <c r="K26" s="74">
        <f>K24-K25</f>
        <v>222000</v>
      </c>
    </row>
    <row r="27" spans="1:13" x14ac:dyDescent="0.35">
      <c r="A27" s="15" t="s">
        <v>142</v>
      </c>
      <c r="B27" s="29"/>
      <c r="C27" s="29">
        <v>108500</v>
      </c>
      <c r="D27" s="28"/>
      <c r="J27" s="25" t="s">
        <v>553</v>
      </c>
      <c r="K27" s="72">
        <f>L19</f>
        <v>22000</v>
      </c>
    </row>
    <row r="28" spans="1:13" ht="17" x14ac:dyDescent="0.5">
      <c r="A28" s="15" t="s">
        <v>143</v>
      </c>
      <c r="B28" s="30"/>
      <c r="C28" s="31">
        <v>1750</v>
      </c>
      <c r="D28" s="28"/>
      <c r="G28" s="25" t="s">
        <v>514</v>
      </c>
      <c r="H28" s="25">
        <v>1750</v>
      </c>
      <c r="J28" s="69" t="s">
        <v>480</v>
      </c>
      <c r="K28" s="74">
        <f>SUM(K26:K27)</f>
        <v>244000</v>
      </c>
    </row>
    <row r="29" spans="1:13" x14ac:dyDescent="0.35">
      <c r="A29" s="15"/>
      <c r="B29" s="29">
        <f>SUM(B7:B28)</f>
        <v>1300000</v>
      </c>
      <c r="C29" s="29">
        <f>SUM(C7:C28)</f>
        <v>1300000</v>
      </c>
      <c r="D29" s="15"/>
      <c r="G29" s="25" t="s">
        <v>515</v>
      </c>
      <c r="H29" s="25">
        <f>H26-H28</f>
        <v>1250</v>
      </c>
    </row>
    <row r="30" spans="1:13" x14ac:dyDescent="0.35">
      <c r="A30" s="32"/>
      <c r="B30" s="28"/>
      <c r="C30" s="28"/>
      <c r="D30" s="28"/>
      <c r="J30" s="82" t="s">
        <v>502</v>
      </c>
      <c r="K30" s="72">
        <f>I19</f>
        <v>103250</v>
      </c>
    </row>
    <row r="31" spans="1:13" x14ac:dyDescent="0.35">
      <c r="A31" s="16" t="s">
        <v>144</v>
      </c>
      <c r="B31" s="15"/>
      <c r="C31" s="15"/>
      <c r="D31" s="15"/>
      <c r="J31" s="82" t="s">
        <v>503</v>
      </c>
      <c r="K31" s="72">
        <f>J19</f>
        <v>128000</v>
      </c>
    </row>
    <row r="32" spans="1:13" x14ac:dyDescent="0.35">
      <c r="A32" s="15" t="s">
        <v>145</v>
      </c>
      <c r="B32" s="15"/>
      <c r="C32" s="15"/>
      <c r="D32" s="15"/>
      <c r="G32" s="25" t="s">
        <v>518</v>
      </c>
      <c r="J32" s="82" t="s">
        <v>246</v>
      </c>
      <c r="K32" s="72">
        <f>K19</f>
        <v>3000</v>
      </c>
    </row>
    <row r="33" spans="1:16" x14ac:dyDescent="0.35">
      <c r="A33" s="15" t="s">
        <v>146</v>
      </c>
      <c r="B33" s="15"/>
      <c r="C33" s="15"/>
      <c r="D33" s="15"/>
      <c r="G33" s="25" t="s">
        <v>519</v>
      </c>
      <c r="H33" s="70">
        <f>B16</f>
        <v>64500</v>
      </c>
      <c r="J33" s="69" t="s">
        <v>482</v>
      </c>
      <c r="K33" s="74">
        <f>K28-K30-K31-K32</f>
        <v>9750</v>
      </c>
    </row>
    <row r="34" spans="1:16" x14ac:dyDescent="0.35">
      <c r="A34" s="15" t="s">
        <v>147</v>
      </c>
      <c r="B34" s="15"/>
      <c r="C34" s="15"/>
      <c r="D34" s="15"/>
      <c r="G34" s="25" t="s">
        <v>520</v>
      </c>
      <c r="H34" s="70">
        <f>C17</f>
        <v>31500</v>
      </c>
      <c r="J34" s="25" t="s">
        <v>554</v>
      </c>
      <c r="K34" s="25">
        <f>11250-4250</f>
        <v>7000</v>
      </c>
    </row>
    <row r="35" spans="1:16" x14ac:dyDescent="0.35">
      <c r="A35" s="15" t="s">
        <v>148</v>
      </c>
      <c r="B35" s="15"/>
      <c r="C35" s="15"/>
      <c r="D35" s="15"/>
      <c r="G35" s="25" t="s">
        <v>521</v>
      </c>
      <c r="H35" s="70">
        <f>H33-H34</f>
        <v>33000</v>
      </c>
      <c r="J35" s="69" t="s">
        <v>485</v>
      </c>
      <c r="K35" s="74">
        <f>K33-K34</f>
        <v>2750</v>
      </c>
    </row>
    <row r="36" spans="1:16" x14ac:dyDescent="0.35">
      <c r="A36" s="15" t="s">
        <v>149</v>
      </c>
      <c r="B36" s="15"/>
      <c r="C36" s="15"/>
      <c r="D36" s="15"/>
      <c r="J36" s="25" t="s">
        <v>504</v>
      </c>
      <c r="K36" s="72">
        <f>M19</f>
        <v>9500</v>
      </c>
    </row>
    <row r="37" spans="1:16" x14ac:dyDescent="0.35">
      <c r="A37" s="15" t="s">
        <v>150</v>
      </c>
      <c r="B37" s="15"/>
      <c r="C37" s="15"/>
      <c r="D37" s="15"/>
      <c r="G37" s="25" t="s">
        <v>524</v>
      </c>
      <c r="H37" s="70">
        <f>H35-H26</f>
        <v>30000</v>
      </c>
      <c r="J37" s="69" t="s">
        <v>555</v>
      </c>
      <c r="K37" s="74">
        <f>K35+K36</f>
        <v>12250</v>
      </c>
    </row>
    <row r="38" spans="1:16" x14ac:dyDescent="0.35">
      <c r="A38" s="15" t="s">
        <v>151</v>
      </c>
      <c r="B38" s="15"/>
      <c r="C38" s="15"/>
      <c r="D38" s="15"/>
      <c r="G38" s="25" t="s">
        <v>523</v>
      </c>
    </row>
    <row r="39" spans="1:16" x14ac:dyDescent="0.35">
      <c r="A39" s="15" t="s">
        <v>152</v>
      </c>
      <c r="B39" s="15"/>
      <c r="C39" s="15"/>
      <c r="D39" s="15"/>
      <c r="G39" s="25" t="s">
        <v>522</v>
      </c>
      <c r="H39" s="70">
        <f>H37*20%</f>
        <v>6000</v>
      </c>
    </row>
    <row r="40" spans="1:16" x14ac:dyDescent="0.35">
      <c r="B40" s="15"/>
      <c r="C40" s="15"/>
      <c r="D40" s="15"/>
      <c r="J40" s="25" t="s">
        <v>556</v>
      </c>
    </row>
    <row r="41" spans="1:16" x14ac:dyDescent="0.35">
      <c r="A41" s="15" t="s">
        <v>153</v>
      </c>
      <c r="B41" s="15"/>
      <c r="C41" s="15"/>
      <c r="D41" s="15"/>
      <c r="G41" s="25" t="s">
        <v>525</v>
      </c>
      <c r="H41" s="70">
        <f>H37-H39</f>
        <v>24000</v>
      </c>
    </row>
    <row r="42" spans="1:16" x14ac:dyDescent="0.35">
      <c r="A42" s="15" t="s">
        <v>154</v>
      </c>
      <c r="B42" s="15"/>
      <c r="C42" s="15"/>
      <c r="D42" s="15"/>
      <c r="J42" s="76" t="s">
        <v>262</v>
      </c>
      <c r="K42" s="76" t="s">
        <v>557</v>
      </c>
      <c r="L42" s="76" t="s">
        <v>8</v>
      </c>
      <c r="M42" s="76" t="s">
        <v>493</v>
      </c>
      <c r="N42" s="76" t="s">
        <v>504</v>
      </c>
      <c r="O42" s="76" t="s">
        <v>494</v>
      </c>
      <c r="P42" s="78" t="s">
        <v>383</v>
      </c>
    </row>
    <row r="43" spans="1:16" x14ac:dyDescent="0.35">
      <c r="A43" s="15"/>
      <c r="B43" s="15"/>
      <c r="C43" s="15"/>
      <c r="D43" s="15"/>
      <c r="J43" s="78" t="s">
        <v>558</v>
      </c>
      <c r="K43" s="83">
        <f>C21</f>
        <v>25000</v>
      </c>
      <c r="L43" s="83">
        <f>C22</f>
        <v>61000</v>
      </c>
      <c r="M43" s="83">
        <f>C23</f>
        <v>188250</v>
      </c>
      <c r="N43" s="78">
        <f>0</f>
        <v>0</v>
      </c>
      <c r="O43" s="83">
        <f>C25</f>
        <v>142500</v>
      </c>
      <c r="P43" s="83">
        <f>SUM(K43:O43)</f>
        <v>416750</v>
      </c>
    </row>
    <row r="44" spans="1:16" x14ac:dyDescent="0.35">
      <c r="A44" s="15" t="s">
        <v>155</v>
      </c>
      <c r="B44" s="15"/>
      <c r="C44" s="15"/>
      <c r="D44" s="15"/>
      <c r="G44" s="25" t="s">
        <v>527</v>
      </c>
      <c r="H44" s="71">
        <v>210000</v>
      </c>
      <c r="J44" s="78" t="s">
        <v>485</v>
      </c>
      <c r="K44" s="78"/>
      <c r="L44" s="78"/>
      <c r="M44" s="83">
        <f>K35</f>
        <v>2750</v>
      </c>
      <c r="N44" s="78"/>
      <c r="O44" s="78"/>
      <c r="P44" s="83">
        <f t="shared" ref="P44:P51" si="1">SUM(K44:O44)</f>
        <v>2750</v>
      </c>
    </row>
    <row r="45" spans="1:16" x14ac:dyDescent="0.35">
      <c r="A45" s="15" t="s">
        <v>156</v>
      </c>
      <c r="B45" s="15"/>
      <c r="C45" s="15"/>
      <c r="D45" s="15"/>
      <c r="G45" s="25" t="s">
        <v>529</v>
      </c>
      <c r="H45" s="71">
        <v>30000</v>
      </c>
      <c r="J45" s="78" t="s">
        <v>559</v>
      </c>
      <c r="K45" s="78">
        <v>6250</v>
      </c>
      <c r="L45" s="78"/>
      <c r="M45" s="78"/>
      <c r="N45" s="78"/>
      <c r="O45" s="78">
        <v>-6250</v>
      </c>
      <c r="P45" s="83">
        <f t="shared" si="1"/>
        <v>0</v>
      </c>
    </row>
    <row r="46" spans="1:16" ht="15" customHeight="1" x14ac:dyDescent="0.35">
      <c r="A46" s="15" t="s">
        <v>157</v>
      </c>
      <c r="B46" s="15"/>
      <c r="C46" s="15"/>
      <c r="D46" s="15"/>
      <c r="G46" s="25" t="s">
        <v>528</v>
      </c>
      <c r="H46" s="71">
        <v>50</v>
      </c>
      <c r="J46" s="78" t="s">
        <v>560</v>
      </c>
      <c r="K46" s="78"/>
      <c r="L46" s="78"/>
      <c r="M46" s="78">
        <v>-6500</v>
      </c>
      <c r="N46" s="78"/>
      <c r="O46" s="78"/>
      <c r="P46" s="83">
        <f t="shared" si="1"/>
        <v>-6500</v>
      </c>
    </row>
    <row r="47" spans="1:16" ht="15" customHeight="1" x14ac:dyDescent="0.35">
      <c r="A47" s="15"/>
      <c r="B47" s="15"/>
      <c r="C47" s="15"/>
      <c r="D47" s="15"/>
      <c r="G47" s="25" t="s">
        <v>530</v>
      </c>
      <c r="H47" s="25">
        <v>8</v>
      </c>
      <c r="J47" s="78" t="s">
        <v>545</v>
      </c>
      <c r="L47" s="78"/>
      <c r="M47" s="78"/>
      <c r="N47" s="78">
        <v>13750</v>
      </c>
      <c r="O47" s="78"/>
      <c r="P47" s="83">
        <f>SUM(J47:O47)</f>
        <v>13750</v>
      </c>
    </row>
    <row r="48" spans="1:16" x14ac:dyDescent="0.35">
      <c r="A48" s="15" t="s">
        <v>158</v>
      </c>
      <c r="B48" s="15"/>
      <c r="C48" s="15"/>
      <c r="D48" s="15"/>
      <c r="G48" s="25" t="s">
        <v>531</v>
      </c>
      <c r="H48" s="25">
        <v>42</v>
      </c>
      <c r="J48" s="78" t="s">
        <v>356</v>
      </c>
      <c r="K48" s="78"/>
      <c r="L48" s="78"/>
      <c r="M48" s="78"/>
      <c r="N48" s="78">
        <v>-4250</v>
      </c>
      <c r="O48" s="78"/>
      <c r="P48" s="83">
        <f t="shared" si="1"/>
        <v>-4250</v>
      </c>
    </row>
    <row r="49" spans="1:16" x14ac:dyDescent="0.35">
      <c r="A49" s="15" t="s">
        <v>159</v>
      </c>
      <c r="B49" s="15"/>
      <c r="C49" s="15"/>
      <c r="D49" s="15"/>
      <c r="G49" s="25" t="s">
        <v>536</v>
      </c>
      <c r="H49" s="25">
        <v>0</v>
      </c>
      <c r="J49" s="78"/>
      <c r="K49" s="78"/>
      <c r="L49" s="78"/>
      <c r="M49" s="78"/>
      <c r="N49" s="78"/>
      <c r="O49" s="78"/>
      <c r="P49" s="83">
        <f t="shared" si="1"/>
        <v>0</v>
      </c>
    </row>
    <row r="50" spans="1:16" x14ac:dyDescent="0.35">
      <c r="A50" s="15" t="s">
        <v>160</v>
      </c>
      <c r="B50" s="15"/>
      <c r="C50" s="15"/>
      <c r="D50" s="15"/>
      <c r="J50" s="78"/>
      <c r="K50" s="78"/>
      <c r="L50" s="78"/>
      <c r="M50" s="78"/>
      <c r="N50" s="78"/>
      <c r="O50" s="78"/>
      <c r="P50" s="83">
        <f t="shared" si="1"/>
        <v>0</v>
      </c>
    </row>
    <row r="51" spans="1:16" x14ac:dyDescent="0.35">
      <c r="A51" s="15"/>
      <c r="B51" s="15"/>
      <c r="C51" s="15"/>
      <c r="D51" s="15"/>
      <c r="G51" s="25" t="s">
        <v>532</v>
      </c>
      <c r="J51" s="78"/>
      <c r="K51" s="78"/>
      <c r="L51" s="78"/>
      <c r="M51" s="78"/>
      <c r="N51" s="78"/>
      <c r="O51" s="78"/>
      <c r="P51" s="83">
        <f t="shared" si="1"/>
        <v>0</v>
      </c>
    </row>
    <row r="52" spans="1:16" x14ac:dyDescent="0.35">
      <c r="A52" s="15" t="s">
        <v>161</v>
      </c>
      <c r="B52" s="15"/>
      <c r="C52" s="15"/>
      <c r="D52" s="15"/>
      <c r="G52" s="25" t="s">
        <v>533</v>
      </c>
      <c r="J52" s="76" t="s">
        <v>383</v>
      </c>
      <c r="K52" s="84">
        <f>SUM(K43:K51)</f>
        <v>31250</v>
      </c>
      <c r="L52" s="84">
        <f t="shared" ref="L52:P52" si="2">SUM(L43:L51)</f>
        <v>61000</v>
      </c>
      <c r="M52" s="84">
        <f t="shared" si="2"/>
        <v>184500</v>
      </c>
      <c r="N52" s="84">
        <f t="shared" si="2"/>
        <v>9500</v>
      </c>
      <c r="O52" s="84">
        <f t="shared" si="2"/>
        <v>136250</v>
      </c>
      <c r="P52" s="84">
        <f t="shared" si="2"/>
        <v>422500</v>
      </c>
    </row>
    <row r="53" spans="1:16" x14ac:dyDescent="0.35">
      <c r="A53" s="15" t="s">
        <v>162</v>
      </c>
      <c r="B53" s="15"/>
      <c r="C53" s="15"/>
      <c r="D53" s="15"/>
      <c r="G53" s="25" t="s">
        <v>534</v>
      </c>
      <c r="H53" s="72">
        <f>H45/H47</f>
        <v>3750</v>
      </c>
    </row>
    <row r="54" spans="1:16" x14ac:dyDescent="0.35">
      <c r="A54" s="15"/>
      <c r="B54" s="15"/>
      <c r="C54" s="15"/>
      <c r="D54" s="15"/>
      <c r="G54" s="25" t="s">
        <v>535</v>
      </c>
      <c r="H54" s="25">
        <f>H53*H46+H49</f>
        <v>187500</v>
      </c>
    </row>
    <row r="55" spans="1:16" x14ac:dyDescent="0.35">
      <c r="A55" s="15" t="s">
        <v>163</v>
      </c>
      <c r="B55" s="15"/>
      <c r="C55" s="15"/>
      <c r="D55" s="15"/>
      <c r="G55" s="25" t="s">
        <v>526</v>
      </c>
      <c r="H55" s="72">
        <f>H44-H54</f>
        <v>22500</v>
      </c>
    </row>
    <row r="56" spans="1:16" x14ac:dyDescent="0.35">
      <c r="A56" s="15"/>
      <c r="B56" s="15"/>
      <c r="C56" s="15"/>
      <c r="D56" s="15"/>
      <c r="L56" s="25" t="s">
        <v>422</v>
      </c>
    </row>
    <row r="57" spans="1:16" x14ac:dyDescent="0.35">
      <c r="A57" s="16" t="s">
        <v>27</v>
      </c>
      <c r="B57" s="15"/>
      <c r="C57" s="15"/>
      <c r="D57" s="15"/>
      <c r="G57" s="25" t="s">
        <v>262</v>
      </c>
      <c r="H57" s="25" t="s">
        <v>537</v>
      </c>
      <c r="I57" s="25" t="s">
        <v>265</v>
      </c>
      <c r="J57" s="25" t="s">
        <v>538</v>
      </c>
    </row>
    <row r="58" spans="1:16" x14ac:dyDescent="0.35">
      <c r="A58" s="15" t="s">
        <v>164</v>
      </c>
      <c r="B58" s="15"/>
      <c r="C58" s="15"/>
      <c r="D58" s="15"/>
      <c r="G58" s="25" t="s">
        <v>539</v>
      </c>
      <c r="H58" s="72">
        <f>H55</f>
        <v>22500</v>
      </c>
      <c r="I58" s="25">
        <f>H54</f>
        <v>187500</v>
      </c>
      <c r="J58" s="72">
        <f>SUM(H58:I58)</f>
        <v>210000</v>
      </c>
      <c r="L58" s="69" t="s">
        <v>486</v>
      </c>
      <c r="M58" s="77" t="s">
        <v>506</v>
      </c>
    </row>
    <row r="59" spans="1:16" x14ac:dyDescent="0.35">
      <c r="A59" s="15"/>
      <c r="B59" s="15"/>
      <c r="C59" s="15"/>
      <c r="D59" s="15"/>
      <c r="G59" s="25" t="s">
        <v>540</v>
      </c>
      <c r="H59" s="25">
        <v>0</v>
      </c>
      <c r="I59" s="72">
        <f>H45</f>
        <v>30000</v>
      </c>
      <c r="J59" s="72">
        <f t="shared" ref="J59:J61" si="3">SUM(H59:I59)</f>
        <v>30000</v>
      </c>
      <c r="L59" s="25" t="s">
        <v>487</v>
      </c>
      <c r="M59" s="71">
        <f>H41+J64</f>
        <v>214000</v>
      </c>
    </row>
    <row r="60" spans="1:16" x14ac:dyDescent="0.35">
      <c r="A60" s="15" t="s">
        <v>165</v>
      </c>
      <c r="B60" s="15"/>
      <c r="C60" s="15"/>
      <c r="D60" s="15"/>
      <c r="G60" s="25" t="s">
        <v>541</v>
      </c>
      <c r="H60" s="72">
        <f>H58-H59</f>
        <v>22500</v>
      </c>
      <c r="I60" s="72">
        <f t="shared" ref="I60" si="4">I58-I59</f>
        <v>157500</v>
      </c>
      <c r="J60" s="72">
        <f t="shared" si="3"/>
        <v>180000</v>
      </c>
      <c r="L60" s="25" t="s">
        <v>131</v>
      </c>
      <c r="M60" s="71">
        <v>147000</v>
      </c>
    </row>
    <row r="61" spans="1:16" x14ac:dyDescent="0.35">
      <c r="A61" s="15" t="s">
        <v>166</v>
      </c>
      <c r="B61" s="15"/>
      <c r="C61" s="15"/>
      <c r="D61" s="15"/>
      <c r="G61" s="25" t="s">
        <v>542</v>
      </c>
      <c r="H61" s="25">
        <v>0</v>
      </c>
      <c r="I61" s="72">
        <f>H53</f>
        <v>3750</v>
      </c>
      <c r="J61" s="72">
        <f t="shared" si="3"/>
        <v>3750</v>
      </c>
      <c r="M61" s="71"/>
    </row>
    <row r="62" spans="1:16" x14ac:dyDescent="0.35">
      <c r="A62" s="15" t="s">
        <v>167</v>
      </c>
      <c r="B62" s="15"/>
      <c r="C62" s="15"/>
      <c r="D62" s="15"/>
      <c r="G62" s="25" t="s">
        <v>543</v>
      </c>
      <c r="H62" s="72">
        <f>H60-H61</f>
        <v>22500</v>
      </c>
      <c r="I62" s="72">
        <f>I60-I61</f>
        <v>153750</v>
      </c>
      <c r="J62" s="72">
        <f>SUM(H62:I62)</f>
        <v>176250</v>
      </c>
      <c r="L62" s="69" t="s">
        <v>427</v>
      </c>
      <c r="M62" s="71"/>
    </row>
    <row r="63" spans="1:16" x14ac:dyDescent="0.35">
      <c r="G63" s="25" t="s">
        <v>545</v>
      </c>
      <c r="H63" s="25">
        <v>2500</v>
      </c>
      <c r="I63" s="25">
        <v>11250</v>
      </c>
      <c r="J63" s="25">
        <v>13750</v>
      </c>
      <c r="L63" s="25" t="s">
        <v>428</v>
      </c>
      <c r="M63" s="71">
        <f>95250</f>
        <v>95250</v>
      </c>
    </row>
    <row r="64" spans="1:16" x14ac:dyDescent="0.35">
      <c r="B64" s="73" t="s">
        <v>547</v>
      </c>
      <c r="G64" s="25" t="s">
        <v>544</v>
      </c>
      <c r="H64" s="72">
        <f>SUM(H62:H63)</f>
        <v>25000</v>
      </c>
      <c r="I64" s="72">
        <f>SUM(I62:I63)</f>
        <v>165000</v>
      </c>
      <c r="J64" s="71">
        <v>190000</v>
      </c>
      <c r="L64" s="25" t="s">
        <v>51</v>
      </c>
      <c r="M64" s="71">
        <f>B19-13000</f>
        <v>117000</v>
      </c>
    </row>
    <row r="65" spans="2:13" x14ac:dyDescent="0.35">
      <c r="B65" s="25" t="s">
        <v>548</v>
      </c>
      <c r="C65" s="25">
        <v>25000</v>
      </c>
      <c r="L65" s="25" t="s">
        <v>490</v>
      </c>
      <c r="M65" s="71">
        <f>B20</f>
        <v>8000</v>
      </c>
    </row>
    <row r="66" spans="2:13" x14ac:dyDescent="0.35">
      <c r="B66" s="25" t="s">
        <v>549</v>
      </c>
      <c r="C66" s="25">
        <f>0.25*C65</f>
        <v>6250</v>
      </c>
      <c r="L66" s="25" t="s">
        <v>429</v>
      </c>
      <c r="M66" s="71"/>
    </row>
    <row r="67" spans="2:13" x14ac:dyDescent="0.35">
      <c r="M67" s="71"/>
    </row>
    <row r="68" spans="2:13" ht="16" thickBot="1" x14ac:dyDescent="0.4">
      <c r="L68" s="85" t="s">
        <v>430</v>
      </c>
      <c r="M68" s="86">
        <f>SUM(M59:M67)</f>
        <v>581250</v>
      </c>
    </row>
    <row r="69" spans="2:13" ht="16" thickTop="1" x14ac:dyDescent="0.35">
      <c r="B69" s="25" t="s">
        <v>550</v>
      </c>
      <c r="C69" s="25">
        <v>6250</v>
      </c>
      <c r="M69" s="71"/>
    </row>
    <row r="70" spans="2:13" x14ac:dyDescent="0.35">
      <c r="B70" s="25" t="s">
        <v>551</v>
      </c>
      <c r="C70" s="25">
        <v>6250</v>
      </c>
      <c r="L70" s="69" t="s">
        <v>491</v>
      </c>
      <c r="M70" s="71"/>
    </row>
    <row r="71" spans="2:13" x14ac:dyDescent="0.35">
      <c r="L71" s="69" t="s">
        <v>432</v>
      </c>
      <c r="M71" s="71"/>
    </row>
    <row r="72" spans="2:13" x14ac:dyDescent="0.35">
      <c r="L72" s="25" t="s">
        <v>169</v>
      </c>
      <c r="M72" s="71">
        <f>K52</f>
        <v>31250</v>
      </c>
    </row>
    <row r="73" spans="2:13" x14ac:dyDescent="0.35">
      <c r="M73" s="71"/>
    </row>
    <row r="74" spans="2:13" x14ac:dyDescent="0.35">
      <c r="L74" s="69" t="s">
        <v>433</v>
      </c>
      <c r="M74" s="71"/>
    </row>
    <row r="75" spans="2:13" x14ac:dyDescent="0.35">
      <c r="L75" s="82" t="s">
        <v>8</v>
      </c>
      <c r="M75" s="71">
        <f>L52</f>
        <v>61000</v>
      </c>
    </row>
    <row r="76" spans="2:13" x14ac:dyDescent="0.35">
      <c r="L76" s="82" t="s">
        <v>493</v>
      </c>
      <c r="M76" s="71">
        <f>M52</f>
        <v>184500</v>
      </c>
    </row>
    <row r="77" spans="2:13" x14ac:dyDescent="0.35">
      <c r="L77" s="82" t="s">
        <v>504</v>
      </c>
      <c r="M77" s="71">
        <f>N52</f>
        <v>9500</v>
      </c>
    </row>
    <row r="78" spans="2:13" x14ac:dyDescent="0.35">
      <c r="L78" s="82" t="s">
        <v>494</v>
      </c>
      <c r="M78" s="71">
        <f>O52</f>
        <v>136250</v>
      </c>
    </row>
    <row r="79" spans="2:13" x14ac:dyDescent="0.35">
      <c r="L79" s="69" t="s">
        <v>495</v>
      </c>
      <c r="M79" s="71">
        <f>SUM(M72:M78)</f>
        <v>422500</v>
      </c>
    </row>
    <row r="80" spans="2:13" x14ac:dyDescent="0.35">
      <c r="M80" s="71"/>
    </row>
    <row r="81" spans="12:13" x14ac:dyDescent="0.35">
      <c r="L81" s="69" t="s">
        <v>496</v>
      </c>
      <c r="M81" s="71"/>
    </row>
    <row r="82" spans="12:13" x14ac:dyDescent="0.35">
      <c r="L82" s="25" t="s">
        <v>355</v>
      </c>
      <c r="M82" s="71">
        <f>C26</f>
        <v>37500</v>
      </c>
    </row>
    <row r="83" spans="12:13" x14ac:dyDescent="0.35">
      <c r="L83" s="25" t="s">
        <v>356</v>
      </c>
      <c r="M83" s="71">
        <f>4250</f>
        <v>4250</v>
      </c>
    </row>
    <row r="84" spans="12:13" x14ac:dyDescent="0.35">
      <c r="M84" s="71"/>
    </row>
    <row r="85" spans="12:13" x14ac:dyDescent="0.35">
      <c r="L85" s="69" t="s">
        <v>438</v>
      </c>
      <c r="M85" s="71"/>
    </row>
    <row r="86" spans="12:13" x14ac:dyDescent="0.35">
      <c r="L86" s="25" t="s">
        <v>250</v>
      </c>
      <c r="M86" s="71">
        <f>3000-1500</f>
        <v>1500</v>
      </c>
    </row>
    <row r="87" spans="12:13" x14ac:dyDescent="0.35">
      <c r="L87" s="25" t="s">
        <v>501</v>
      </c>
      <c r="M87" s="71"/>
    </row>
    <row r="88" spans="12:13" x14ac:dyDescent="0.35">
      <c r="L88" s="25" t="s">
        <v>142</v>
      </c>
      <c r="M88" s="71">
        <f>C27</f>
        <v>108500</v>
      </c>
    </row>
    <row r="89" spans="12:13" x14ac:dyDescent="0.35">
      <c r="L89" s="25" t="s">
        <v>561</v>
      </c>
      <c r="M89" s="71">
        <f>11250-4250</f>
        <v>7000</v>
      </c>
    </row>
    <row r="90" spans="12:13" x14ac:dyDescent="0.35">
      <c r="M90" s="71"/>
    </row>
    <row r="91" spans="12:13" x14ac:dyDescent="0.35">
      <c r="L91" s="69" t="s">
        <v>439</v>
      </c>
      <c r="M91" s="75">
        <f>SUM(M82:M90)</f>
        <v>158750</v>
      </c>
    </row>
    <row r="92" spans="12:13" x14ac:dyDescent="0.35">
      <c r="L92" s="69" t="s">
        <v>499</v>
      </c>
      <c r="M92" s="75">
        <f>SUM(M91,M79)</f>
        <v>581250</v>
      </c>
    </row>
    <row r="93" spans="12:13" x14ac:dyDescent="0.35">
      <c r="M93" s="71"/>
    </row>
    <row r="94" spans="12:13" x14ac:dyDescent="0.35">
      <c r="L94" s="25" t="s">
        <v>441</v>
      </c>
      <c r="M94" s="71">
        <f>M68-M92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INCOMPLETE RECORDS-ANGELA</vt:lpstr>
      <vt:lpstr>RHINO LIMITED</vt:lpstr>
      <vt:lpstr>BELLA OMARI</vt:lpstr>
      <vt:lpstr>PUBLISHED ACCOUNTS FARMLAND LTD</vt:lpstr>
      <vt:lpstr>PUBLISHED ACCOUNTS-LAKERS LTD</vt:lpstr>
      <vt:lpstr>INCOME STATEMENTS-HIBISCUS LTD</vt:lpstr>
      <vt:lpstr>PUBLISHED FS-SALAMA LTD</vt:lpstr>
      <vt:lpstr>GALA LIMITED-FS</vt:lpstr>
      <vt:lpstr>BDA DECEMBER 2023 Q21 </vt:lpstr>
      <vt:lpstr>BDA APRIL 2024 Q24-INCOMPLETE</vt:lpstr>
      <vt:lpstr>BDA AUGUST 2025 Q21</vt:lpstr>
      <vt:lpstr>FLEX LIMITED PUBLISHED ACCOUNTS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OMONDI OTIENO</dc:creator>
  <cp:lastModifiedBy>OMONDI OTIENO</cp:lastModifiedBy>
  <cp:lastPrinted>2025-09-24T19:34:27Z</cp:lastPrinted>
  <dcterms:created xsi:type="dcterms:W3CDTF">2024-08-29T15:20:29Z</dcterms:created>
  <dcterms:modified xsi:type="dcterms:W3CDTF">2025-09-26T09:08:51Z</dcterms:modified>
</cp:coreProperties>
</file>