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BDA SEPTEMBER-DECEMBER 2025\"/>
    </mc:Choice>
  </mc:AlternateContent>
  <xr:revisionPtr revIDLastSave="0" documentId="13_ncr:1_{F3897B6A-72C7-4D74-8426-7021B4485994}" xr6:coauthVersionLast="47" xr6:coauthVersionMax="47" xr10:uidLastSave="{00000000-0000-0000-0000-000000000000}"/>
  <bookViews>
    <workbookView xWindow="-110" yWindow="-110" windowWidth="19420" windowHeight="10300" firstSheet="13" activeTab="15" xr2:uid="{77C65A57-D176-437F-9BB8-417FD66F4302}"/>
  </bookViews>
  <sheets>
    <sheet name="Furaha" sheetId="10" r:id="rId1"/>
    <sheet name="RATIOS Q1" sheetId="1" r:id="rId2"/>
    <sheet name="Super cars Limited" sheetId="2" r:id="rId3"/>
    <sheet name="Utajiri Limited" sheetId="5" r:id="rId4"/>
    <sheet name="BDA PILOT DECEMBER 2022 Q21" sheetId="21" r:id="rId5"/>
    <sheet name="BDA PILOT DECEMBER 2022 Q22" sheetId="6" r:id="rId6"/>
    <sheet name="BDA DECEMBER 2022 Q21" sheetId="11" r:id="rId7"/>
    <sheet name="BDA AUGUST 2023 Q21" sheetId="22" r:id="rId8"/>
    <sheet name="FMDA APRIL 2024 Q21" sheetId="8" r:id="rId9"/>
    <sheet name="FMDA APRIL 2023 Q22" sheetId="9" r:id="rId10"/>
    <sheet name="BDA APRIL 2024 Q21" sheetId="12" r:id="rId11"/>
    <sheet name="BDA APRIL 2024 Q22" sheetId="13" r:id="rId12"/>
    <sheet name="BDA APRIL 2024 Q24" sheetId="20" r:id="rId13"/>
    <sheet name="BDA DECEMBER 2024 Q21" sheetId="17" r:id="rId14"/>
    <sheet name="BDA APRIL 2025 Q21" sheetId="18" r:id="rId15"/>
    <sheet name="FMDA APRIL 2025 Q21" sheetId="19" r:id="rId16"/>
    <sheet name="DECEMBER 2025 Q21" sheetId="23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8" l="1"/>
  <c r="D14" i="18"/>
  <c r="E14" i="18"/>
  <c r="F14" i="18"/>
  <c r="G14" i="18"/>
  <c r="B14" i="18"/>
  <c r="D16" i="18"/>
  <c r="E16" i="18"/>
  <c r="F16" i="18"/>
  <c r="G16" i="18"/>
  <c r="C16" i="18"/>
  <c r="B17" i="18"/>
  <c r="C12" i="18"/>
  <c r="C28" i="18"/>
  <c r="C29" i="18"/>
  <c r="D29" i="18"/>
  <c r="E29" i="18"/>
  <c r="F29" i="18"/>
  <c r="G29" i="18"/>
  <c r="C27" i="18"/>
  <c r="D27" i="18"/>
  <c r="E27" i="18"/>
  <c r="F27" i="18"/>
  <c r="G27" i="18"/>
  <c r="C25" i="18"/>
  <c r="D25" i="18"/>
  <c r="D26" i="18" s="1"/>
  <c r="E25" i="18"/>
  <c r="E26" i="18" s="1"/>
  <c r="F25" i="18"/>
  <c r="G25" i="18"/>
  <c r="G26" i="18" s="1"/>
  <c r="D24" i="18"/>
  <c r="E24" i="18"/>
  <c r="F24" i="18"/>
  <c r="G24" i="18"/>
  <c r="C23" i="18"/>
  <c r="D23" i="18"/>
  <c r="E23" i="18"/>
  <c r="F23" i="18"/>
  <c r="G23" i="18"/>
  <c r="C21" i="18"/>
  <c r="D21" i="18"/>
  <c r="E21" i="18"/>
  <c r="F21" i="18"/>
  <c r="G21" i="18"/>
  <c r="D28" i="18"/>
  <c r="E28" i="18"/>
  <c r="F28" i="18"/>
  <c r="G28" i="18"/>
  <c r="F26" i="18"/>
  <c r="C26" i="18"/>
  <c r="C24" i="18"/>
  <c r="D22" i="18"/>
  <c r="E22" i="18"/>
  <c r="F22" i="18"/>
  <c r="G22" i="18"/>
  <c r="C22" i="18"/>
  <c r="D20" i="18"/>
  <c r="E20" i="18" s="1"/>
  <c r="F20" i="18" s="1"/>
  <c r="G20" i="18" s="1"/>
  <c r="C20" i="18"/>
  <c r="D19" i="18"/>
  <c r="E19" i="18" s="1"/>
  <c r="F19" i="18" s="1"/>
  <c r="G19" i="18" s="1"/>
  <c r="C19" i="18"/>
  <c r="D17" i="18"/>
  <c r="E17" i="18"/>
  <c r="F17" i="18"/>
  <c r="G17" i="18"/>
  <c r="C17" i="18"/>
  <c r="C13" i="18"/>
  <c r="D13" i="18"/>
  <c r="E13" i="18"/>
  <c r="F13" i="18" s="1"/>
  <c r="G13" i="18" s="1"/>
  <c r="D10" i="18"/>
  <c r="E10" i="18"/>
  <c r="F10" i="18" s="1"/>
  <c r="G10" i="18" s="1"/>
  <c r="C10" i="18"/>
  <c r="C47" i="18"/>
  <c r="D47" i="18"/>
  <c r="E47" i="18"/>
  <c r="F47" i="18"/>
  <c r="G47" i="18"/>
  <c r="B16" i="18"/>
  <c r="F87" i="9"/>
  <c r="G87" i="9"/>
  <c r="H87" i="9"/>
  <c r="I87" i="9"/>
  <c r="E87" i="9"/>
  <c r="F86" i="9"/>
  <c r="G86" i="9"/>
  <c r="H86" i="9"/>
  <c r="I86" i="9"/>
  <c r="E86" i="9"/>
  <c r="F83" i="9"/>
  <c r="G83" i="9"/>
  <c r="H83" i="9"/>
  <c r="I83" i="9"/>
  <c r="E83" i="9"/>
  <c r="F82" i="9"/>
  <c r="G82" i="9"/>
  <c r="H82" i="9"/>
  <c r="I82" i="9"/>
  <c r="E82" i="9"/>
  <c r="F81" i="9"/>
  <c r="G81" i="9"/>
  <c r="H81" i="9"/>
  <c r="I81" i="9"/>
  <c r="E81" i="9"/>
  <c r="F63" i="9"/>
  <c r="G63" i="9"/>
  <c r="H63" i="9"/>
  <c r="I63" i="9"/>
  <c r="E63" i="9"/>
  <c r="E44" i="9"/>
  <c r="E45" i="9" s="1"/>
  <c r="E33" i="9"/>
  <c r="F30" i="9"/>
  <c r="F34" i="9" s="1"/>
  <c r="E9" i="9"/>
  <c r="E56" i="9" s="1"/>
  <c r="F3" i="9"/>
  <c r="F9" i="9" s="1"/>
  <c r="E75" i="10"/>
  <c r="E73" i="10"/>
  <c r="E67" i="10"/>
  <c r="E76" i="10" s="1"/>
  <c r="E78" i="10" s="1"/>
  <c r="E65" i="10"/>
  <c r="E36" i="10"/>
  <c r="E34" i="10"/>
  <c r="E33" i="10"/>
  <c r="E17" i="10"/>
  <c r="E18" i="10" s="1"/>
  <c r="E30" i="10"/>
  <c r="E29" i="10"/>
  <c r="E28" i="10"/>
  <c r="E14" i="10"/>
  <c r="E13" i="10"/>
  <c r="E58" i="10"/>
  <c r="D19" i="6"/>
  <c r="C19" i="6"/>
  <c r="B19" i="6"/>
  <c r="E55" i="10"/>
  <c r="E11" i="10"/>
  <c r="E54" i="10"/>
  <c r="E51" i="10"/>
  <c r="E10" i="10"/>
  <c r="E9" i="10"/>
  <c r="E8" i="10"/>
  <c r="E4" i="10"/>
  <c r="E7" i="10"/>
  <c r="E2" i="10"/>
  <c r="E1" i="10"/>
  <c r="B36" i="5"/>
  <c r="E39" i="2"/>
  <c r="E46" i="2" s="1"/>
  <c r="E34" i="2"/>
  <c r="B47" i="18" l="1"/>
  <c r="E115" i="9"/>
  <c r="E10" i="9"/>
  <c r="E11" i="9" s="1"/>
  <c r="E12" i="9"/>
  <c r="F12" i="9"/>
  <c r="F10" i="9"/>
  <c r="F56" i="9"/>
  <c r="E46" i="9"/>
  <c r="E52" i="9" s="1"/>
  <c r="E15" i="9"/>
  <c r="E111" i="9" s="1"/>
  <c r="E35" i="9"/>
  <c r="E17" i="9" s="1"/>
  <c r="G3" i="9"/>
  <c r="E34" i="9"/>
  <c r="I34" i="9"/>
  <c r="H34" i="9"/>
  <c r="G34" i="9"/>
  <c r="B55" i="18"/>
  <c r="B56" i="18" s="1"/>
  <c r="B42" i="18"/>
  <c r="B43" i="18" s="1"/>
  <c r="E74" i="9" l="1"/>
  <c r="E116" i="9" s="1"/>
  <c r="E14" i="9"/>
  <c r="E16" i="9" s="1"/>
  <c r="E18" i="9" s="1"/>
  <c r="E55" i="9"/>
  <c r="E36" i="9"/>
  <c r="E37" i="9" s="1"/>
  <c r="F33" i="9" s="1"/>
  <c r="E120" i="9"/>
  <c r="E112" i="9"/>
  <c r="E117" i="9"/>
  <c r="F115" i="9"/>
  <c r="H3" i="9"/>
  <c r="G9" i="9"/>
  <c r="F42" i="9"/>
  <c r="F44" i="9" s="1"/>
  <c r="F11" i="9"/>
  <c r="F14" i="9" s="1"/>
  <c r="F74" i="9"/>
  <c r="F116" i="9" s="1"/>
  <c r="F55" i="9"/>
  <c r="C13" i="11"/>
  <c r="C15" i="11" s="1"/>
  <c r="C17" i="11" s="1"/>
  <c r="C19" i="11" s="1"/>
  <c r="C21" i="11" s="1"/>
  <c r="D13" i="11"/>
  <c r="E13" i="11"/>
  <c r="E15" i="11" s="1"/>
  <c r="E17" i="11" s="1"/>
  <c r="E19" i="11" s="1"/>
  <c r="E21" i="11" s="1"/>
  <c r="E71" i="9" l="1"/>
  <c r="E76" i="9" s="1"/>
  <c r="F117" i="9"/>
  <c r="E19" i="9"/>
  <c r="E109" i="9"/>
  <c r="E114" i="9" s="1"/>
  <c r="E118" i="9" s="1"/>
  <c r="F45" i="9"/>
  <c r="F15" i="9" s="1"/>
  <c r="G10" i="9"/>
  <c r="G12" i="9"/>
  <c r="G56" i="9"/>
  <c r="I3" i="9"/>
  <c r="I9" i="9" s="1"/>
  <c r="H9" i="9"/>
  <c r="F35" i="9"/>
  <c r="D15" i="11"/>
  <c r="D17" i="11" s="1"/>
  <c r="D19" i="11" s="1"/>
  <c r="D21" i="11" s="1"/>
  <c r="B49" i="6"/>
  <c r="C11" i="6"/>
  <c r="B11" i="6"/>
  <c r="B13" i="6" s="1"/>
  <c r="B15" i="6" s="1"/>
  <c r="B17" i="6" s="1"/>
  <c r="D11" i="13"/>
  <c r="E11" i="13" s="1"/>
  <c r="D10" i="13"/>
  <c r="D9" i="13"/>
  <c r="D8" i="13"/>
  <c r="E8" i="13" s="1"/>
  <c r="D7" i="13"/>
  <c r="D6" i="13"/>
  <c r="F77" i="12"/>
  <c r="E77" i="12"/>
  <c r="D77" i="12"/>
  <c r="C77" i="12"/>
  <c r="B77" i="12"/>
  <c r="F68" i="12"/>
  <c r="F78" i="12" s="1"/>
  <c r="E68" i="12"/>
  <c r="E78" i="12" s="1"/>
  <c r="D68" i="12"/>
  <c r="D78" i="12" s="1"/>
  <c r="C68" i="12"/>
  <c r="C78" i="12" s="1"/>
  <c r="B68" i="12"/>
  <c r="B78" i="12" s="1"/>
  <c r="F57" i="12"/>
  <c r="F59" i="12" s="1"/>
  <c r="D57" i="12"/>
  <c r="D59" i="12" s="1"/>
  <c r="D79" i="12" s="1"/>
  <c r="B57" i="12"/>
  <c r="F56" i="12"/>
  <c r="E56" i="12"/>
  <c r="E57" i="12" s="1"/>
  <c r="E59" i="12" s="1"/>
  <c r="E79" i="12" s="1"/>
  <c r="D56" i="12"/>
  <c r="C56" i="12"/>
  <c r="C57" i="12" s="1"/>
  <c r="B56" i="12"/>
  <c r="B59" i="12" s="1"/>
  <c r="B79" i="12" s="1"/>
  <c r="E48" i="12"/>
  <c r="C48" i="12"/>
  <c r="B48" i="12"/>
  <c r="F47" i="12"/>
  <c r="F48" i="12" s="1"/>
  <c r="E43" i="12"/>
  <c r="D43" i="12"/>
  <c r="D48" i="12" s="1"/>
  <c r="F38" i="12"/>
  <c r="F37" i="12"/>
  <c r="E37" i="12"/>
  <c r="E40" i="12" s="1"/>
  <c r="E49" i="12" s="1"/>
  <c r="D37" i="12"/>
  <c r="C37" i="12"/>
  <c r="C40" i="12" s="1"/>
  <c r="C49" i="12" s="1"/>
  <c r="B37" i="12"/>
  <c r="F34" i="12"/>
  <c r="F40" i="12" s="1"/>
  <c r="E34" i="12"/>
  <c r="D34" i="12"/>
  <c r="D40" i="12" s="1"/>
  <c r="C34" i="12"/>
  <c r="B34" i="12"/>
  <c r="B40" i="12" s="1"/>
  <c r="B49" i="12" s="1"/>
  <c r="F20" i="12"/>
  <c r="F19" i="12"/>
  <c r="E19" i="12"/>
  <c r="D19" i="12"/>
  <c r="C19" i="12"/>
  <c r="F17" i="12"/>
  <c r="E17" i="12"/>
  <c r="D17" i="12"/>
  <c r="C17" i="12"/>
  <c r="B17" i="12"/>
  <c r="E16" i="12"/>
  <c r="E18" i="12" s="1"/>
  <c r="E21" i="12" s="1"/>
  <c r="E23" i="12" s="1"/>
  <c r="E25" i="12" s="1"/>
  <c r="C16" i="12"/>
  <c r="C18" i="12" s="1"/>
  <c r="C21" i="12" s="1"/>
  <c r="C23" i="12" s="1"/>
  <c r="C25" i="12" s="1"/>
  <c r="B16" i="12"/>
  <c r="B18" i="12" s="1"/>
  <c r="B21" i="12" s="1"/>
  <c r="B23" i="12" s="1"/>
  <c r="B25" i="12" s="1"/>
  <c r="F15" i="12"/>
  <c r="F16" i="12" s="1"/>
  <c r="F18" i="12" s="1"/>
  <c r="F21" i="12" s="1"/>
  <c r="F23" i="12" s="1"/>
  <c r="F25" i="12" s="1"/>
  <c r="E15" i="12"/>
  <c r="D15" i="12"/>
  <c r="D16" i="12" s="1"/>
  <c r="D18" i="12" s="1"/>
  <c r="D21" i="12" s="1"/>
  <c r="D23" i="12" s="1"/>
  <c r="D25" i="12" s="1"/>
  <c r="C15" i="12"/>
  <c r="B13" i="11"/>
  <c r="B15" i="11" s="1"/>
  <c r="F46" i="9" l="1"/>
  <c r="G42" i="9" s="1"/>
  <c r="G44" i="9" s="1"/>
  <c r="E128" i="9"/>
  <c r="G115" i="9"/>
  <c r="E20" i="9"/>
  <c r="E22" i="9" s="1"/>
  <c r="E119" i="9"/>
  <c r="E122" i="9" s="1"/>
  <c r="F16" i="9"/>
  <c r="F111" i="9"/>
  <c r="F36" i="9"/>
  <c r="F37" i="9" s="1"/>
  <c r="F17" i="9"/>
  <c r="H12" i="9"/>
  <c r="H10" i="9"/>
  <c r="H56" i="9"/>
  <c r="I10" i="9"/>
  <c r="I11" i="9" s="1"/>
  <c r="I56" i="9"/>
  <c r="I12" i="9"/>
  <c r="G11" i="9"/>
  <c r="G14" i="9" s="1"/>
  <c r="G74" i="9"/>
  <c r="G116" i="9" s="1"/>
  <c r="G55" i="9"/>
  <c r="B17" i="11"/>
  <c r="B19" i="11" s="1"/>
  <c r="B21" i="11" s="1"/>
  <c r="B23" i="11" s="1"/>
  <c r="C22" i="11" s="1"/>
  <c r="C13" i="6"/>
  <c r="D49" i="12"/>
  <c r="F49" i="12"/>
  <c r="F79" i="12"/>
  <c r="C59" i="12"/>
  <c r="C79" i="12" s="1"/>
  <c r="F52" i="9" l="1"/>
  <c r="E131" i="9"/>
  <c r="E133" i="9" s="1"/>
  <c r="E57" i="9" s="1"/>
  <c r="E59" i="9" s="1"/>
  <c r="F18" i="9"/>
  <c r="F109" i="9" s="1"/>
  <c r="F112" i="9"/>
  <c r="F120" i="9"/>
  <c r="F21" i="9"/>
  <c r="E66" i="9"/>
  <c r="E68" i="9" s="1"/>
  <c r="E77" i="9" s="1"/>
  <c r="I115" i="9"/>
  <c r="G117" i="9"/>
  <c r="H115" i="9"/>
  <c r="F19" i="9"/>
  <c r="G45" i="9"/>
  <c r="G15" i="9" s="1"/>
  <c r="I14" i="9"/>
  <c r="I55" i="9"/>
  <c r="I74" i="9"/>
  <c r="H74" i="9"/>
  <c r="H116" i="9" s="1"/>
  <c r="H55" i="9"/>
  <c r="H117" i="9" s="1"/>
  <c r="H11" i="9"/>
  <c r="H14" i="9" s="1"/>
  <c r="G33" i="9"/>
  <c r="F71" i="9"/>
  <c r="C15" i="6"/>
  <c r="C23" i="11"/>
  <c r="D22" i="11" s="1"/>
  <c r="F132" i="9" l="1"/>
  <c r="E79" i="9"/>
  <c r="F114" i="9"/>
  <c r="F118" i="9" s="1"/>
  <c r="I116" i="9"/>
  <c r="G16" i="9"/>
  <c r="G111" i="9"/>
  <c r="F76" i="9"/>
  <c r="F128" i="9"/>
  <c r="I117" i="9"/>
  <c r="F20" i="9"/>
  <c r="F22" i="9" s="1"/>
  <c r="G21" i="9" s="1"/>
  <c r="F119" i="9"/>
  <c r="F122" i="9" s="1"/>
  <c r="F131" i="9" s="1"/>
  <c r="F133" i="9" s="1"/>
  <c r="G35" i="9"/>
  <c r="G46" i="9"/>
  <c r="D23" i="11"/>
  <c r="E22" i="11" s="1"/>
  <c r="E23" i="11" s="1"/>
  <c r="C17" i="6"/>
  <c r="C49" i="6"/>
  <c r="D49" i="6"/>
  <c r="C45" i="6"/>
  <c r="D45" i="6"/>
  <c r="B45" i="6"/>
  <c r="C37" i="6"/>
  <c r="D37" i="6"/>
  <c r="B37" i="6"/>
  <c r="B51" i="5"/>
  <c r="C36" i="5"/>
  <c r="F66" i="9" l="1"/>
  <c r="F68" i="9" s="1"/>
  <c r="F77" i="9" s="1"/>
  <c r="F57" i="9"/>
  <c r="F59" i="9" s="1"/>
  <c r="G132" i="9"/>
  <c r="H42" i="9"/>
  <c r="H44" i="9" s="1"/>
  <c r="H45" i="9" s="1"/>
  <c r="G52" i="9"/>
  <c r="G36" i="9"/>
  <c r="G37" i="9" s="1"/>
  <c r="G17" i="9"/>
  <c r="C38" i="6"/>
  <c r="D38" i="6"/>
  <c r="B50" i="6"/>
  <c r="C50" i="6"/>
  <c r="B38" i="6"/>
  <c r="D50" i="6"/>
  <c r="F79" i="9" l="1"/>
  <c r="G18" i="9"/>
  <c r="G109" i="9" s="1"/>
  <c r="G112" i="9"/>
  <c r="G120" i="9"/>
  <c r="H33" i="9"/>
  <c r="G71" i="9"/>
  <c r="H46" i="9"/>
  <c r="H15" i="9"/>
  <c r="C51" i="5"/>
  <c r="C42" i="5"/>
  <c r="B42" i="5"/>
  <c r="C37" i="5"/>
  <c r="B37" i="5"/>
  <c r="G114" i="9" l="1"/>
  <c r="G118" i="9" s="1"/>
  <c r="H16" i="9"/>
  <c r="H111" i="9"/>
  <c r="G19" i="9"/>
  <c r="G76" i="9"/>
  <c r="G128" i="9"/>
  <c r="I42" i="9"/>
  <c r="I44" i="9" s="1"/>
  <c r="H52" i="9"/>
  <c r="H35" i="9"/>
  <c r="B52" i="5"/>
  <c r="C52" i="5"/>
  <c r="G20" i="9" l="1"/>
  <c r="G22" i="9" s="1"/>
  <c r="G119" i="9"/>
  <c r="G122" i="9" s="1"/>
  <c r="G131" i="9" s="1"/>
  <c r="G133" i="9" s="1"/>
  <c r="H36" i="9"/>
  <c r="H37" i="9" s="1"/>
  <c r="H17" i="9"/>
  <c r="I45" i="9"/>
  <c r="I15" i="9" s="1"/>
  <c r="B19" i="18"/>
  <c r="B21" i="18" l="1"/>
  <c r="B23" i="18" s="1"/>
  <c r="B25" i="18" s="1"/>
  <c r="B27" i="18" s="1"/>
  <c r="B29" i="18" s="1"/>
  <c r="I46" i="9"/>
  <c r="I52" i="9" s="1"/>
  <c r="G57" i="9"/>
  <c r="G59" i="9" s="1"/>
  <c r="H132" i="9"/>
  <c r="I16" i="9"/>
  <c r="I111" i="9"/>
  <c r="H18" i="9"/>
  <c r="H109" i="9" s="1"/>
  <c r="H112" i="9"/>
  <c r="H120" i="9"/>
  <c r="H21" i="9"/>
  <c r="G66" i="9"/>
  <c r="G68" i="9" s="1"/>
  <c r="G77" i="9" s="1"/>
  <c r="H19" i="9"/>
  <c r="H119" i="9" s="1"/>
  <c r="H71" i="9"/>
  <c r="I33" i="9"/>
  <c r="G79" i="9" l="1"/>
  <c r="H114" i="9"/>
  <c r="H118" i="9" s="1"/>
  <c r="H122" i="9" s="1"/>
  <c r="H20" i="9"/>
  <c r="H22" i="9" s="1"/>
  <c r="I21" i="9" s="1"/>
  <c r="H76" i="9"/>
  <c r="H128" i="9"/>
  <c r="I35" i="9"/>
  <c r="B57" i="18"/>
  <c r="B48" i="18"/>
  <c r="H66" i="9" l="1"/>
  <c r="H68" i="9" s="1"/>
  <c r="H77" i="9" s="1"/>
  <c r="H131" i="9"/>
  <c r="H133" i="9" s="1"/>
  <c r="I36" i="9"/>
  <c r="I37" i="9" s="1"/>
  <c r="I71" i="9" s="1"/>
  <c r="I17" i="9"/>
  <c r="I18" i="9" l="1"/>
  <c r="I109" i="9" s="1"/>
  <c r="I120" i="9"/>
  <c r="I112" i="9"/>
  <c r="I76" i="9"/>
  <c r="I128" i="9"/>
  <c r="I132" i="9"/>
  <c r="H57" i="9"/>
  <c r="H59" i="9" s="1"/>
  <c r="H79" i="9" s="1"/>
  <c r="I114" i="9" l="1"/>
  <c r="I118" i="9" s="1"/>
  <c r="I19" i="9"/>
  <c r="I20" i="9" l="1"/>
  <c r="I22" i="9" s="1"/>
  <c r="I66" i="9" s="1"/>
  <c r="I68" i="9" s="1"/>
  <c r="I77" i="9" s="1"/>
  <c r="I119" i="9"/>
  <c r="I122" i="9" s="1"/>
  <c r="I131" i="9" s="1"/>
  <c r="I133" i="9" s="1"/>
  <c r="I57" i="9" s="1"/>
  <c r="I59" i="9" s="1"/>
  <c r="I79" i="9" l="1"/>
</calcChain>
</file>

<file path=xl/sharedStrings.xml><?xml version="1.0" encoding="utf-8"?>
<sst xmlns="http://schemas.openxmlformats.org/spreadsheetml/2006/main" count="1051" uniqueCount="738">
  <si>
    <t>EBIT</t>
  </si>
  <si>
    <t>Current ratio</t>
  </si>
  <si>
    <t>Super Cars Limited deals in car accessories. Roughly 75% of sales are on credit while the balance are on cash sales.</t>
  </si>
  <si>
    <t>Super Cars Limited engaged an analyst who extracted the following summary of industry ratios:</t>
  </si>
  <si>
    <t xml:space="preserve">Return on year end capital employed    </t>
  </si>
  <si>
    <t>Net asset (equal to capital employed) turnover</t>
  </si>
  <si>
    <t xml:space="preserve">Gross profit margin                                                                                    </t>
  </si>
  <si>
    <t xml:space="preserve">Net profit (before tax) margin   </t>
  </si>
  <si>
    <t>4 times</t>
  </si>
  <si>
    <t>1.6:1</t>
  </si>
  <si>
    <t>Closing inventory holding period</t>
  </si>
  <si>
    <t>46 days</t>
  </si>
  <si>
    <t>Trade receivables collection period</t>
  </si>
  <si>
    <t>45 days</t>
  </si>
  <si>
    <t>55 days</t>
  </si>
  <si>
    <t>Dividend cover</t>
  </si>
  <si>
    <t>2 times</t>
  </si>
  <si>
    <t>Super Cars Limited summarised financial statements for the year ended 31 December 2021 are as provided below:</t>
  </si>
  <si>
    <t>Statement of profit or loss for the year ended 31 December 2021</t>
  </si>
  <si>
    <t>Sh."OOO"</t>
  </si>
  <si>
    <t>Revenue</t>
  </si>
  <si>
    <t>Cost of sales</t>
  </si>
  <si>
    <t>Gross profit</t>
  </si>
  <si>
    <t>Operating expenses</t>
  </si>
  <si>
    <t>Profit on disposal of plant</t>
  </si>
  <si>
    <t>Finance cost</t>
  </si>
  <si>
    <t>Profit before tax</t>
  </si>
  <si>
    <t>Income tax expense</t>
  </si>
  <si>
    <t>Profit for the period</t>
  </si>
  <si>
    <t>Statement of financial position as at 30 December 2021</t>
  </si>
  <si>
    <t>Property, plant and equipment</t>
  </si>
  <si>
    <t>Current assets:</t>
  </si>
  <si>
    <t>Inventory</t>
  </si>
  <si>
    <t xml:space="preserve">Trade receivables </t>
  </si>
  <si>
    <t>Total assets</t>
  </si>
  <si>
    <t>Equity and liabilities:</t>
  </si>
  <si>
    <t>Capital and reserves:</t>
  </si>
  <si>
    <t>Ordinary shares of Sh. 100 each</t>
  </si>
  <si>
    <t>Retained earnings</t>
  </si>
  <si>
    <t>Non-current liabilities:</t>
  </si>
  <si>
    <t>Current liabilities:</t>
  </si>
  <si>
    <t>Trade payables</t>
  </si>
  <si>
    <t>Current tax</t>
  </si>
  <si>
    <t>Bank overdraft</t>
  </si>
  <si>
    <t>Total equity and liabilities</t>
  </si>
  <si>
    <t>Additional information:</t>
  </si>
  <si>
    <t>l. Super Cars Limited received Sh.600,000 from the sale of plant that had a carrying amount of Sh.400,000 at the date of its sale.</t>
  </si>
  <si>
    <t>Required:</t>
  </si>
  <si>
    <t>31 December 2021.</t>
  </si>
  <si>
    <t>(12 marks)</t>
  </si>
  <si>
    <t>(Total: 20 marks)</t>
  </si>
  <si>
    <t>8 % debentures</t>
  </si>
  <si>
    <t>dividend yield</t>
  </si>
  <si>
    <t>Trade payables' payment period</t>
  </si>
  <si>
    <t>Net profit margin</t>
  </si>
  <si>
    <t>Gross profit margin</t>
  </si>
  <si>
    <t>Sh.“million”</t>
  </si>
  <si>
    <t xml:space="preserve">Net Sales (80% credit sales)
</t>
  </si>
  <si>
    <t>Net profit before interest and taxes</t>
  </si>
  <si>
    <t>Interest expense</t>
  </si>
  <si>
    <t>Corporate tax</t>
  </si>
  <si>
    <t>Net profit after tax</t>
  </si>
  <si>
    <t>Less: Dividends - Interim</t>
  </si>
  <si>
    <t>- Final</t>
  </si>
  <si>
    <t>Retained profit</t>
  </si>
  <si>
    <t>2022</t>
  </si>
  <si>
    <t>2023</t>
  </si>
  <si>
    <t>Assets:</t>
  </si>
  <si>
    <t xml:space="preserve">Non-current assets:
</t>
  </si>
  <si>
    <t>Propert, plant and equipment (NBV)</t>
  </si>
  <si>
    <t xml:space="preserve">Current assets:
</t>
  </si>
  <si>
    <t>Trade receivables</t>
  </si>
  <si>
    <t>Cash in hand</t>
  </si>
  <si>
    <t xml:space="preserve">Capital and liabilities:
</t>
  </si>
  <si>
    <t>Capital:</t>
  </si>
  <si>
    <t>Ordinary share capital (Sh.10 par)</t>
  </si>
  <si>
    <t>Revenue reserves</t>
  </si>
  <si>
    <t xml:space="preserve">Non-current liabilities:
</t>
  </si>
  <si>
    <t>10% debentures</t>
  </si>
  <si>
    <t xml:space="preserve">Current liabilities:
</t>
  </si>
  <si>
    <t>Tax payable</t>
  </si>
  <si>
    <t>Proposed dividends</t>
  </si>
  <si>
    <t>Total capital and liabilities</t>
  </si>
  <si>
    <t>SECTION II – TOTAL 60 MARKS</t>
  </si>
  <si>
    <t>Question Twenty Two</t>
  </si>
  <si>
    <t>You are provided with the following extracts of the statement of profit or loss and statement of financial position for Darubini</t>
  </si>
  <si>
    <t xml:space="preserve"> Limited for the years ended 30 June 2020, 2021 and 2022:  </t>
  </si>
  <si>
    <t>Darubini Limited</t>
  </si>
  <si>
    <t>Statement of profit or loss extract for the year ended 30 June (figures in Sh."000"):</t>
  </si>
  <si>
    <t>Sales</t>
  </si>
  <si>
    <t>Operating profit</t>
  </si>
  <si>
    <t xml:space="preserve">Depreciation </t>
  </si>
  <si>
    <t>Profit before interest and tax</t>
  </si>
  <si>
    <t>Finance costs</t>
  </si>
  <si>
    <t>Statement of financial position:</t>
  </si>
  <si>
    <t>Non-current assets:</t>
  </si>
  <si>
    <t>Receivables</t>
  </si>
  <si>
    <t>Cash and cash equivalents</t>
  </si>
  <si>
    <t>Total current assets</t>
  </si>
  <si>
    <t>Equity and Liabilities:</t>
  </si>
  <si>
    <t>Long-term liabilities:</t>
  </si>
  <si>
    <t>Long term borrowings</t>
  </si>
  <si>
    <t>Accounts payable</t>
  </si>
  <si>
    <t>Sub-total</t>
  </si>
  <si>
    <t>Equity:</t>
  </si>
  <si>
    <t>Paid up capital</t>
  </si>
  <si>
    <t>(a)         Prepare the statement of cash flows for the company for the two years ended 30 June 2021 and 30 June 2022.               (8 marks)</t>
  </si>
  <si>
    <t>(b)        Calculate and comment on the following key ratios:</t>
  </si>
  <si>
    <t xml:space="preserve">            (i)         Revenue growth rates for the years ended 30 June 2021 and 30 June 2022.                                                                (2 marks)</t>
  </si>
  <si>
    <t xml:space="preserve">            (ii)       Two years’ cumulative average revenue growth rate for the year ended 30 June 2022.                                             (2 marks)</t>
  </si>
  <si>
    <t xml:space="preserve">            (iii)       Return on equity (ROE) for each of the three years. Discuss your results.                                                                 (2 marks)</t>
  </si>
  <si>
    <t xml:space="preserve">           </t>
  </si>
  <si>
    <t xml:space="preserve">(c)        Using the two-years cumulative average revenue growth rate calculated in (b) (ii) above, prepare a one year forecast of the </t>
  </si>
  <si>
    <t xml:space="preserve">             statement of profit or loss for the year  ending 30 June 2023. Assume that the vertical ratios for year ended 30 June 2022 apply </t>
  </si>
  <si>
    <t xml:space="preserve">             for the 2023 forecast except that depreciation and finance costs remain constant. Tax is assumed to be at 30%. </t>
  </si>
  <si>
    <t xml:space="preserve">   </t>
  </si>
  <si>
    <t>Registration Number:</t>
  </si>
  <si>
    <t>Question Twenty One</t>
  </si>
  <si>
    <t>You are provided with the following extracts of the statement of profit or loss for Sepetuka Limited:</t>
  </si>
  <si>
    <t>Sepetuka Limited</t>
  </si>
  <si>
    <t>Statement of profit or loss extract for the year ended 30 September:</t>
  </si>
  <si>
    <t>Year</t>
  </si>
  <si>
    <t>Sh.“000”</t>
  </si>
  <si>
    <t>Profit after tax</t>
  </si>
  <si>
    <r>
      <t>(a)</t>
    </r>
    <r>
      <rPr>
        <sz val="7"/>
        <color theme="1"/>
        <rFont val="Times New Roman"/>
        <family val="1"/>
      </rPr>
      <t xml:space="preserve">                 </t>
    </r>
    <r>
      <rPr>
        <sz val="10"/>
        <color theme="1"/>
        <rFont val="Times New Roman"/>
        <family val="1"/>
      </rPr>
      <t>Calculate and interpret the following ratios:</t>
    </r>
  </si>
  <si>
    <t>(i)        Annual revenue growth rates for years 2020, 2021 and 2022.</t>
  </si>
  <si>
    <t>(ii)       Three years cumulative average growth rate (CAGR) for year 2022.</t>
  </si>
  <si>
    <r>
      <t>(iii)</t>
    </r>
    <r>
      <rPr>
        <sz val="7"/>
        <color theme="1"/>
        <rFont val="Times New Roman"/>
        <family val="1"/>
      </rPr>
      <t>          </t>
    </r>
    <r>
      <rPr>
        <sz val="10"/>
        <color theme="1"/>
        <rFont val="Times New Roman"/>
        <family val="1"/>
      </rPr>
      <t>Effective tax rate for the period 2019 to 2022.</t>
    </r>
  </si>
  <si>
    <r>
      <t>1.</t>
    </r>
    <r>
      <rPr>
        <sz val="7"/>
        <color theme="1"/>
        <rFont val="Times New Roman"/>
        <family val="1"/>
      </rPr>
      <t>         </t>
    </r>
    <r>
      <rPr>
        <sz val="10"/>
        <color theme="1"/>
        <rFont val="Times New Roman"/>
        <family val="1"/>
      </rPr>
      <t xml:space="preserve">Revenue growth rates are forecast under three scenarios namely base case, optimistic case and pessimistic case.   </t>
    </r>
  </si>
  <si>
    <t xml:space="preserve">        The base case growth rate for the first year forecast is the 2022 CAGR.  This is expected to reduce by 2% annually</t>
  </si>
  <si>
    <t xml:space="preserve">        until the last year of the forecast subject to a minimum of 15%. The optimistic case is 20% above the base case </t>
  </si>
  <si>
    <t xml:space="preserve">        while the pessimistic case is 10% below the base case in all forecast periods.  </t>
  </si>
  <si>
    <t>2.     Gross profit margin for the first year of the forecast is the 3-year average for the period from year 2020 to year 2022.</t>
  </si>
  <si>
    <t xml:space="preserve">        This is expected to reduce by 2% annually until the last year of the forecast subject to a minimum of 50%.   </t>
  </si>
  <si>
    <t>3.     Operating expense ratios are modelled as 3-year averages for the period from 2020 to 2022. These are assumed</t>
  </si>
  <si>
    <t xml:space="preserve">        to remain constant over the forecast period. </t>
  </si>
  <si>
    <t xml:space="preserve">4.     Depreciation to revenue ratio is assumed to remain constant as the  3-year average for the period 2020 to 2022.  </t>
  </si>
  <si>
    <t xml:space="preserve">5.     Finance costs are expected to reduce steadily as the loans are repaid. Use the reduction rate in year 2022  over the </t>
  </si>
  <si>
    <t xml:space="preserve">        forecast period.</t>
  </si>
  <si>
    <t>6.    Income tax expense is calculated as the historical effective tax rate.</t>
  </si>
  <si>
    <t xml:space="preserve">Prepare five-year forecast statements of profit or loss for Sepetuka Limited from year 2023 to year 2027.    </t>
  </si>
  <si>
    <t>SECTION II  (60 MARKS)</t>
  </si>
  <si>
    <t>Section II comprises  Question 21 and Question 22. Answer BOTH questions.</t>
  </si>
  <si>
    <t>QUESTION 21:</t>
  </si>
  <si>
    <t>You are a financial analyst working for Makupa Cement Company. Your task is to prepare a comprehensive financial model and</t>
  </si>
  <si>
    <t>conduct an analysis of the company's financial statements. The company's management has provided you with historical financial</t>
  </si>
  <si>
    <t>data and you are responsible for creating forecasted financial statements and undertaking solvency analysis.</t>
  </si>
  <si>
    <t>Assumptions and additional information:</t>
  </si>
  <si>
    <t xml:space="preserve">1. </t>
  </si>
  <si>
    <t>Statement of financial position information for the year ended 31 December 2023 is as follows:</t>
  </si>
  <si>
    <r>
      <t>·</t>
    </r>
    <r>
      <rPr>
        <sz val="12"/>
        <color theme="1"/>
        <rFont val="Times New Roman"/>
        <family val="1"/>
      </rPr>
      <t>      The company's Property, Plant and Equipment (PPE) is valued at Sh.19,500,000.</t>
    </r>
  </si>
  <si>
    <r>
      <t>·</t>
    </r>
    <r>
      <rPr>
        <sz val="12"/>
        <color theme="1"/>
        <rFont val="Times New Roman"/>
        <family val="1"/>
      </rPr>
      <t>      Receivables amount to Sh.1,750,000.</t>
    </r>
  </si>
  <si>
    <r>
      <t>·</t>
    </r>
    <r>
      <rPr>
        <sz val="12"/>
        <color theme="1"/>
        <rFont val="Times New Roman"/>
        <family val="1"/>
      </rPr>
      <t>      Inventory stands at Sh.650,000.</t>
    </r>
  </si>
  <si>
    <r>
      <t>·</t>
    </r>
    <r>
      <rPr>
        <sz val="12"/>
        <color theme="1"/>
        <rFont val="Times New Roman"/>
        <family val="1"/>
      </rPr>
      <t>      The company holds Sh.3,100,000 in cash.</t>
    </r>
  </si>
  <si>
    <t>Liabilities:</t>
  </si>
  <si>
    <r>
      <t>·</t>
    </r>
    <r>
      <rPr>
        <sz val="12"/>
        <color theme="1"/>
        <rFont val="Times New Roman"/>
        <family val="1"/>
      </rPr>
      <t>      The outstanding debt is Sh.15,000,000.</t>
    </r>
  </si>
  <si>
    <r>
      <t>·</t>
    </r>
    <r>
      <rPr>
        <sz val="12"/>
        <color theme="1"/>
        <rFont val="Times New Roman"/>
        <family val="1"/>
      </rPr>
      <t>      There are Sh.1,000,000 in accounts payable.</t>
    </r>
  </si>
  <si>
    <r>
      <t>·</t>
    </r>
    <r>
      <rPr>
        <sz val="12"/>
        <color theme="1"/>
        <rFont val="Times New Roman"/>
        <family val="1"/>
      </rPr>
      <t>      The equity capital is Sh.1,000,000.</t>
    </r>
  </si>
  <si>
    <r>
      <t>·</t>
    </r>
    <r>
      <rPr>
        <sz val="12"/>
        <color theme="1"/>
        <rFont val="Times New Roman"/>
        <family val="1"/>
      </rPr>
      <t>      Retained earnings are Sh.8,000,000.</t>
    </r>
  </si>
  <si>
    <t>2.</t>
  </si>
  <si>
    <t>The projected revenue for the year 2024 is Sh.30 million.</t>
  </si>
  <si>
    <t>3.</t>
  </si>
  <si>
    <t>Revenue is expected to grow at the rate of 8% annually.</t>
  </si>
  <si>
    <t>4.</t>
  </si>
  <si>
    <t>Cost of goods sold (COGS) is estimated to be 42.5% of revenue.</t>
  </si>
  <si>
    <t>5.</t>
  </si>
  <si>
    <t>Operating expenses are estimated to be 17% of revenue.</t>
  </si>
  <si>
    <t>6.</t>
  </si>
  <si>
    <t>The income tax rate is 30%.</t>
  </si>
  <si>
    <t>7.</t>
  </si>
  <si>
    <t>8.</t>
  </si>
  <si>
    <t>Capital expenditures (CapEx) are estimated to be 2.5% of revenue.</t>
  </si>
  <si>
    <t>9.</t>
  </si>
  <si>
    <t>The company's working capital assumptions are as follows:</t>
  </si>
  <si>
    <r>
      <t>·</t>
    </r>
    <r>
      <rPr>
        <sz val="12"/>
        <color theme="1"/>
        <rFont val="Times New Roman"/>
        <family val="1"/>
      </rPr>
      <t>     Accounts receivable turnover is 12.</t>
    </r>
  </si>
  <si>
    <r>
      <t>·</t>
    </r>
    <r>
      <rPr>
        <sz val="12"/>
        <color theme="1"/>
        <rFont val="Times New Roman"/>
        <family val="1"/>
      </rPr>
      <t xml:space="preserve">     Inventory turnover is 24. </t>
    </r>
  </si>
  <si>
    <r>
      <t>·</t>
    </r>
    <r>
      <rPr>
        <sz val="12"/>
        <color theme="1"/>
        <rFont val="Times New Roman"/>
        <family val="1"/>
      </rPr>
      <t>    Accounts payable turnover is 12.</t>
    </r>
  </si>
  <si>
    <t>10.</t>
  </si>
  <si>
    <t>The debt brought forward has the following terms:</t>
  </si>
  <si>
    <r>
      <t>·</t>
    </r>
    <r>
      <rPr>
        <sz val="12"/>
        <color theme="1"/>
        <rFont val="Times New Roman"/>
        <family val="1"/>
      </rPr>
      <t>    Terms outstanding: 5 years</t>
    </r>
  </si>
  <si>
    <r>
      <t>·</t>
    </r>
    <r>
      <rPr>
        <sz val="12"/>
        <color theme="1"/>
        <rFont val="Times New Roman"/>
        <family val="1"/>
      </rPr>
      <t>    Interest rate: 15% of principal outstanding</t>
    </r>
  </si>
  <si>
    <r>
      <t>·</t>
    </r>
    <r>
      <rPr>
        <sz val="12"/>
        <color theme="1"/>
        <rFont val="Times New Roman"/>
        <family val="1"/>
      </rPr>
      <t>    Principal repayment schedule: Evenly distributed over the loan term.</t>
    </r>
  </si>
  <si>
    <t>11.</t>
  </si>
  <si>
    <t xml:space="preserve">The company does not intend to take on additional debt over the next five years. </t>
  </si>
  <si>
    <t>12.</t>
  </si>
  <si>
    <t>The company’s dividend payout rate is 40%.</t>
  </si>
  <si>
    <t>(a)</t>
  </si>
  <si>
    <t>Develop a five-year forecast for the company's statement of profit or loss, statement of financial position and statement of cash flows and</t>
  </si>
  <si>
    <t>their supporting schedules, such as a depreciation schedule, a working capital schedule, that provide detailed calculations for your forecasts.</t>
  </si>
  <si>
    <t>(21 marks)</t>
  </si>
  <si>
    <t xml:space="preserve">(b) </t>
  </si>
  <si>
    <t>Calculate the following liqudity and solvency ratios for each of the five forecasted years:</t>
  </si>
  <si>
    <t xml:space="preserve">(i) </t>
  </si>
  <si>
    <t>Current ratio.</t>
  </si>
  <si>
    <t>(1 mark)</t>
  </si>
  <si>
    <t>(ii)</t>
  </si>
  <si>
    <t>Quick ratio (Acid-Test Ratio).</t>
  </si>
  <si>
    <t>(iii)</t>
  </si>
  <si>
    <t>Interest coverage ratio.</t>
  </si>
  <si>
    <t>(iv)</t>
  </si>
  <si>
    <t>Debt ratio.</t>
  </si>
  <si>
    <t>(v)</t>
  </si>
  <si>
    <t>Cash flow to debt ratio.</t>
  </si>
  <si>
    <t>(c)</t>
  </si>
  <si>
    <t>Create a visual representation (graphs or charts) of the liquidity and solvency ratios calculated in (b) above.</t>
  </si>
  <si>
    <t>(4 marks)</t>
  </si>
  <si>
    <t xml:space="preserve">QUESTION TWENTY TWO </t>
  </si>
  <si>
    <t xml:space="preserve">Question Twenty Two </t>
  </si>
  <si>
    <t xml:space="preserve">As a senior financial analyst at Wemma Capital, you have been tasked by the chief investment </t>
  </si>
  <si>
    <t xml:space="preserve">manager to develop a financial model for a new startup company that plans to manufacture and </t>
  </si>
  <si>
    <t xml:space="preserve">sell electric bikes components in the country. </t>
  </si>
  <si>
    <t xml:space="preserve">The following information is provided: </t>
  </si>
  <si>
    <t xml:space="preserve">1. The company is expected to produce 1,000,000 units annually. </t>
  </si>
  <si>
    <t xml:space="preserve">2. The unit selling price is expected to be Sh.18.50 in 2024. </t>
  </si>
  <si>
    <t xml:space="preserve">3. The unit selling price is expected to increase by 5% annually. </t>
  </si>
  <si>
    <t xml:space="preserve">4. The cost of goods sold (percentage of revenue) is 42.0%. </t>
  </si>
  <si>
    <t xml:space="preserve">5. The salaries and benefits expense (percentage of revenue) is 17.0%. </t>
  </si>
  <si>
    <t xml:space="preserve">6. The annual rent and overhead expense are Sh. 500,000. </t>
  </si>
  <si>
    <t xml:space="preserve">7. Depreciation and amortisation (percentage of property, plant and equipment) is 25.0%. </t>
  </si>
  <si>
    <t xml:space="preserve">8. Interest rate (percentage of debt) is 10.0%. </t>
  </si>
  <si>
    <t xml:space="preserve">9. The applicable tax rate is 30.0%. </t>
  </si>
  <si>
    <t xml:space="preserve">10. The accounts receivable (Days) is 30. </t>
  </si>
  <si>
    <t xml:space="preserve">11. The inventory (Days) is 14. </t>
  </si>
  <si>
    <t xml:space="preserve">12. The accounts payable (Days) is 30. </t>
  </si>
  <si>
    <t xml:space="preserve">13. Capital expenditures in year 0 is percentage Sh.15,000,000. It will be funded by </t>
  </si>
  <si>
    <t>debt issuance of Sh.5,000,000 and equity of Sh.10,000,000.</t>
  </si>
  <si>
    <t xml:space="preserve">Required: </t>
  </si>
  <si>
    <t xml:space="preserve">Using Excel: </t>
  </si>
  <si>
    <t xml:space="preserve">(a) Prepare the following financial statements: </t>
  </si>
  <si>
    <t xml:space="preserve">i. Statement of profit or loss for the five-year period </t>
  </si>
  <si>
    <t xml:space="preserve">(8 marks) </t>
  </si>
  <si>
    <t xml:space="preserve">ii. Statement of financial position for the five-year period </t>
  </si>
  <si>
    <t xml:space="preserve">(6 marks) </t>
  </si>
  <si>
    <t xml:space="preserve">iii. Cash flow statement for the company for the five-year period </t>
  </si>
  <si>
    <t xml:space="preserve">(b) Undertake a analysis and compute the following financial ratios for the five years: </t>
  </si>
  <si>
    <t xml:space="preserve">i. Profitability - Return on Assets, Return on Equity, Net Profit Margin Ratio </t>
  </si>
  <si>
    <t xml:space="preserve">(5 marks) </t>
  </si>
  <si>
    <t xml:space="preserve">ii. Liquidity - Current Ratio, Quick Ratio </t>
  </si>
  <si>
    <t>(5 marks)</t>
  </si>
  <si>
    <t>(c) You are presented with the following information in relation to Furaha Ltd. for the year ending 31 December 2024:</t>
  </si>
  <si>
    <t>Sh.</t>
  </si>
  <si>
    <t>Net sales</t>
  </si>
  <si>
    <t>Current liabilities</t>
  </si>
  <si>
    <t>Debt-assets ratio</t>
  </si>
  <si>
    <t>Debtors turnover based on net sales</t>
  </si>
  <si>
    <t>Inventory turnover ratio</t>
  </si>
  <si>
    <t>Return on total assets</t>
  </si>
  <si>
    <t>Fixed asset turnover</t>
  </si>
  <si>
    <t>Corporation tax rates</t>
  </si>
  <si>
    <t>Compute the following:</t>
  </si>
  <si>
    <t>(i) Cost of sales.</t>
  </si>
  <si>
    <t xml:space="preserve"> (2 mark)</t>
  </si>
  <si>
    <t>(ii) Receivables.</t>
  </si>
  <si>
    <t xml:space="preserve"> (1 mark)</t>
  </si>
  <si>
    <t>(iii) Net profit.</t>
  </si>
  <si>
    <t>(iv) Closing inventory.</t>
  </si>
  <si>
    <t>(v) Total assets.</t>
  </si>
  <si>
    <t>(vi) Non-current assets.</t>
  </si>
  <si>
    <t>(vii) Long-term debt.</t>
  </si>
  <si>
    <t>(d) Prepare a forecasted statement of profit or loss and statement of financial position for the year ending 31 December</t>
  </si>
  <si>
    <t>2024 based on your results in (c) (i) to (c) (vii) above. (12 marks)</t>
  </si>
  <si>
    <t>PAT</t>
  </si>
  <si>
    <t>Retained earnings b/d</t>
  </si>
  <si>
    <t>Retained earnings c/d</t>
  </si>
  <si>
    <t>Share capital</t>
  </si>
  <si>
    <t>SECTION II (60 MARKS)</t>
  </si>
  <si>
    <t xml:space="preserve">Answer ALL questions in this section. </t>
  </si>
  <si>
    <t>Applecom Ltd. is a listed company operating in the telecommunications sector. The following data relates to the company for the past five years:</t>
  </si>
  <si>
    <t>Statement of Profit or Loss for the year ended 31 March:</t>
  </si>
  <si>
    <t>Sh."million"</t>
  </si>
  <si>
    <t>Total Revenue</t>
  </si>
  <si>
    <t>Other Incomes</t>
  </si>
  <si>
    <t>Direct Costs</t>
  </si>
  <si>
    <t>Other Expenses</t>
  </si>
  <si>
    <t>EBITDA (Earnings Before Interest, Tax, Depreciation and Armotisation)</t>
  </si>
  <si>
    <t>Depreciation and Amortisation</t>
  </si>
  <si>
    <t>Share of Profit in associate and Joint Venture</t>
  </si>
  <si>
    <t>Finance income</t>
  </si>
  <si>
    <t>EBIT (Earnings Before Interest and Tax)</t>
  </si>
  <si>
    <t>Profit before Tax</t>
  </si>
  <si>
    <t>Income Tax Expense</t>
  </si>
  <si>
    <t>Profit After Tax</t>
  </si>
  <si>
    <t>Statement of Financial Position as at 31 March:</t>
  </si>
  <si>
    <t>Property, plant and Equipment</t>
  </si>
  <si>
    <t>Intangible assets</t>
  </si>
  <si>
    <t>Right-of-Use Assets</t>
  </si>
  <si>
    <t>Investment Property</t>
  </si>
  <si>
    <t>Investment in Associate Company</t>
  </si>
  <si>
    <t>Restricted Cash</t>
  </si>
  <si>
    <t>Contract Assets</t>
  </si>
  <si>
    <t>Deferred Tax asset</t>
  </si>
  <si>
    <t>Inventories</t>
  </si>
  <si>
    <t>Receivables and Prepayments</t>
  </si>
  <si>
    <t>Tax recoverable</t>
  </si>
  <si>
    <t>Financial Assets</t>
  </si>
  <si>
    <t>Total Assets</t>
  </si>
  <si>
    <t>Share Premium</t>
  </si>
  <si>
    <t>Translation Reserve</t>
  </si>
  <si>
    <t>Retained Earnings and Dividends</t>
  </si>
  <si>
    <t>Total Equity to Parent</t>
  </si>
  <si>
    <t>Total Equity to Non-controlling interest</t>
  </si>
  <si>
    <t>Total Equity</t>
  </si>
  <si>
    <t>Borrowings</t>
  </si>
  <si>
    <t xml:space="preserve">Payables and Accrued Expenses </t>
  </si>
  <si>
    <t>Provisions</t>
  </si>
  <si>
    <t>Contract Liability</t>
  </si>
  <si>
    <t>Lease Liability</t>
  </si>
  <si>
    <t>Payables and Accrued Expenses</t>
  </si>
  <si>
    <t>Dividends Payable</t>
  </si>
  <si>
    <t>Tax Payable</t>
  </si>
  <si>
    <t>Total Liabilities</t>
  </si>
  <si>
    <t>Total Capital and Liabilities</t>
  </si>
  <si>
    <t>CA35P Page 5</t>
  </si>
  <si>
    <t>Out of 11</t>
  </si>
  <si>
    <t>Cash flows from Operating activities (Sh."million")</t>
  </si>
  <si>
    <t>Number of Shares (million)</t>
  </si>
  <si>
    <t>Market Price per share (Sh.)</t>
  </si>
  <si>
    <t>Dividends Paid (Sh."million")</t>
  </si>
  <si>
    <t>Key Metrics</t>
  </si>
  <si>
    <t>Total Assets Turnover</t>
  </si>
  <si>
    <t>Net Profit Margin</t>
  </si>
  <si>
    <t>Return on Investment</t>
  </si>
  <si>
    <t>Return on Equity</t>
  </si>
  <si>
    <t>Current Ratio</t>
  </si>
  <si>
    <t>Debt Ratio</t>
  </si>
  <si>
    <t>Earnings Per Share (Sh.)</t>
  </si>
  <si>
    <t>Dividend Per share(Sh.)</t>
  </si>
  <si>
    <t>Book Value Per Share (Sh.)</t>
  </si>
  <si>
    <t xml:space="preserve">Prepare a dashboard showing the financial performance and financial position of the organisation over the 5-year period ended 31 March 2023. </t>
  </si>
  <si>
    <t>The dashboard should include the following charts:</t>
  </si>
  <si>
    <t>(a)       Revenue and profit.</t>
  </si>
  <si>
    <t>(2 marks)</t>
  </si>
  <si>
    <t>(b)       Key expenses.</t>
  </si>
  <si>
    <t>(c)       Non current assets.</t>
  </si>
  <si>
    <t>(d)       Current assets.</t>
  </si>
  <si>
    <t>(e)       Non-current liabilities.</t>
  </si>
  <si>
    <t>(f)       Payables and current liabilities.</t>
  </si>
  <si>
    <t>(g)       Efficiency and liquidity ratios.</t>
  </si>
  <si>
    <t>(h)       Profitability ratios.</t>
  </si>
  <si>
    <t>(i)        Debt ratio.</t>
  </si>
  <si>
    <t xml:space="preserve">(j)        Investors ratios. </t>
  </si>
  <si>
    <t>CA35P Page 6</t>
  </si>
  <si>
    <t xml:space="preserve">QUESTION 22: </t>
  </si>
  <si>
    <t>Matrix Limited has provided the following data for the six months ended 31 December 2023:</t>
  </si>
  <si>
    <t>Month</t>
  </si>
  <si>
    <t>Cost of Sales</t>
  </si>
  <si>
    <t>Gross Profit</t>
  </si>
  <si>
    <t>Operating Expenses</t>
  </si>
  <si>
    <t>EBITDA</t>
  </si>
  <si>
    <t>Interest</t>
  </si>
  <si>
    <t>EBT</t>
  </si>
  <si>
    <t xml:space="preserve">End </t>
  </si>
  <si>
    <t>Payables</t>
  </si>
  <si>
    <t>Cash/Bank Balances</t>
  </si>
  <si>
    <t>(a)      Summarise the above data with the following additional sections for the Chief Finance Officer (CFO) Dashboard.</t>
  </si>
  <si>
    <t xml:space="preserve">          (i)       Total profit or loss for the six months.</t>
  </si>
  <si>
    <t xml:space="preserve">          (ii)      Various profit margins.</t>
  </si>
  <si>
    <t xml:space="preserve">          (iii)     Days of Purchases (DOP) using end of year balances (Ignore averages).</t>
  </si>
  <si>
    <t xml:space="preserve">          (iv)     Days of Inventory (DOI) using end of year balances (Ignore averages).</t>
  </si>
  <si>
    <t xml:space="preserve">          (v)      Days of Sales (DOS) using end of year balances (Ignore averages).</t>
  </si>
  <si>
    <t xml:space="preserve">         Assume 360 days in a year and that inventory at the beginning of July was worth Sh.900 million. </t>
  </si>
  <si>
    <t xml:space="preserve"> (8 marks)</t>
  </si>
  <si>
    <t>(b)    Prepare the CFO's dashboard showing the following charts:</t>
  </si>
  <si>
    <t xml:space="preserve">        (i)        Revenue and profit.</t>
  </si>
  <si>
    <t xml:space="preserve">        (ii)       Profit margin.</t>
  </si>
  <si>
    <t xml:space="preserve">        (iii)      Payables levels.</t>
  </si>
  <si>
    <t xml:space="preserve">        (iv)      Inventory levels.</t>
  </si>
  <si>
    <t xml:space="preserve">        (v)       Receivables levels.</t>
  </si>
  <si>
    <t xml:space="preserve">        (vi)      Number of days sales outstanding (DSO) and number of days payables outstanding (DPO).</t>
  </si>
  <si>
    <t>CA35P Page 7</t>
  </si>
  <si>
    <t>i)Revenue growth rates</t>
  </si>
  <si>
    <t>iii)ROE</t>
  </si>
  <si>
    <t>shareholders' equity</t>
  </si>
  <si>
    <t>ii) CARG</t>
  </si>
  <si>
    <t>i) Annual revenue growth rate</t>
  </si>
  <si>
    <t>ii) CARGR</t>
  </si>
  <si>
    <t>iii) tax rate</t>
  </si>
  <si>
    <r>
      <t>(b)</t>
    </r>
    <r>
      <rPr>
        <sz val="7"/>
        <color theme="1"/>
        <rFont val="Times New Roman"/>
        <family val="1"/>
      </rPr>
      <t>      </t>
    </r>
    <r>
      <rPr>
        <sz val="10"/>
        <color theme="1"/>
        <rFont val="Times New Roman"/>
        <family val="1"/>
      </rPr>
      <t>Now assume the following for Sepetuka Limited:</t>
    </r>
  </si>
  <si>
    <t>Profit for the year</t>
  </si>
  <si>
    <t>Depreciation expenses are estimated to be 12.5% of total  Non-current assets, assuming a straight-line depreciation method.</t>
  </si>
  <si>
    <t>Wakwi  Limited is a public entity which has grown in recent years by acquiring established business entities. The directors of Wakwi Limited</t>
  </si>
  <si>
    <t xml:space="preserve">have identified two potential entities targeted for a takeover.  The directors believe that the shareholders of the two target companies would </t>
  </si>
  <si>
    <t>be receptive to a takeover. As a pre-requisite to the takeover decision, the directors have tasked a firm of consultants to carry out a cross-sectional</t>
  </si>
  <si>
    <t>analysis of the financial statements of the two potential target companies which operate in the same industry sector.</t>
  </si>
  <si>
    <t>The financial statements of the two entities as at 30 September 2024 are shown below:</t>
  </si>
  <si>
    <t>Statement of profit or loss for the year ended 30 Septemebr 2024:</t>
  </si>
  <si>
    <t>Remi Ltd.</t>
  </si>
  <si>
    <t>Popino Ltd.</t>
  </si>
  <si>
    <t>Sh.''000''</t>
  </si>
  <si>
    <t>Distribution costs</t>
  </si>
  <si>
    <t>Administrative expenses</t>
  </si>
  <si>
    <t>Statement of financial position as at 30 September  2024:</t>
  </si>
  <si>
    <t>Property</t>
  </si>
  <si>
    <t>Owned plant</t>
  </si>
  <si>
    <t>Right of use of  asset</t>
  </si>
  <si>
    <t>Bank</t>
  </si>
  <si>
    <t>Ordinary share capital (Sh.10 par value)</t>
  </si>
  <si>
    <t>Revaluation surplus</t>
  </si>
  <si>
    <t>Total equity</t>
  </si>
  <si>
    <t>Lease liability</t>
  </si>
  <si>
    <t>10% loans</t>
  </si>
  <si>
    <t>(a)         Common size statements of profit or loss for the two entities for the year ended 30  September 2024.</t>
  </si>
  <si>
    <t xml:space="preserve">       (8 marks)</t>
  </si>
  <si>
    <t>(b)         Common size statements of financial position as at 30 September 2024.</t>
  </si>
  <si>
    <t xml:space="preserve">     (10 marks)</t>
  </si>
  <si>
    <t>(c)         Advise the directors of Wakwi Limited on the best company for take over.</t>
  </si>
  <si>
    <t xml:space="preserve">       (2 marks)</t>
  </si>
  <si>
    <t xml:space="preserve">      (Total: 20 marks)</t>
  </si>
  <si>
    <t xml:space="preserve">        CA35P page 5</t>
  </si>
  <si>
    <t xml:space="preserve">        Out of 9</t>
  </si>
  <si>
    <t>QUESTION 21</t>
  </si>
  <si>
    <t>The following financial statements relate to Z Limited  for the year ended 31 December 2024:</t>
  </si>
  <si>
    <t>Z Limited</t>
  </si>
  <si>
    <t>Statement of profit or loss for the year ended 31 December 2024</t>
  </si>
  <si>
    <t>Sh."000"</t>
  </si>
  <si>
    <t>Revenue (Sales of goods)</t>
  </si>
  <si>
    <t>Cost of Sales:</t>
  </si>
  <si>
    <t>Opening inventory</t>
  </si>
  <si>
    <t>Purchases</t>
  </si>
  <si>
    <t>Closing inventory</t>
  </si>
  <si>
    <t>Cost of goods sold (Cost of sales)</t>
  </si>
  <si>
    <t>Other expenses:</t>
  </si>
  <si>
    <t>Distribution expenses</t>
  </si>
  <si>
    <t>Earnings Before Interest, Tax, Depreciation and Amortisation</t>
  </si>
  <si>
    <t>Depreciation and amortisation</t>
  </si>
  <si>
    <t>Earnings Before Interest and Tax</t>
  </si>
  <si>
    <t>Earnings Before Tax</t>
  </si>
  <si>
    <t>Earnings After Tax (Net Income)</t>
  </si>
  <si>
    <t>Dividends paid</t>
  </si>
  <si>
    <t>Retained profit for the period</t>
  </si>
  <si>
    <t>Retained profit b/f</t>
  </si>
  <si>
    <t>Retained profit c/f</t>
  </si>
  <si>
    <t>Statement of financial position as at 31 December 2024</t>
  </si>
  <si>
    <t>Non-current assets</t>
  </si>
  <si>
    <t>Cash at bank and in hand</t>
  </si>
  <si>
    <t xml:space="preserve">Ordinary share capital </t>
  </si>
  <si>
    <t>Share premium</t>
  </si>
  <si>
    <t>Retained profits</t>
  </si>
  <si>
    <t xml:space="preserve">Total capital </t>
  </si>
  <si>
    <t>Non-curret liabilities:</t>
  </si>
  <si>
    <t>Long-term bank loans</t>
  </si>
  <si>
    <t>Total liabilities</t>
  </si>
  <si>
    <t>You are required to prepare the forecast financial statements for the next five years commencing 2025, given the following assumptions:</t>
  </si>
  <si>
    <t>For the statement of profit or loss assume:</t>
  </si>
  <si>
    <t xml:space="preserve">1.     Revenue and purchases are expected to grow at the rate of 10% per annum. </t>
  </si>
  <si>
    <t xml:space="preserve">2.     Gross profit is 30% of revenue. (This will make it easier to determine closing inventory) </t>
  </si>
  <si>
    <t>3.     Administration expenses will grow at the rate of 5% per annum.</t>
  </si>
  <si>
    <t>4.     Selling and distribution expenses will likely grow at the rate of 10% per annum in line with revenue.</t>
  </si>
  <si>
    <t>5.     Depreciation and amortisation is on average 10% of previous period non-current assets.</t>
  </si>
  <si>
    <t>6.     Interest expense is 10% of end of last period balance of the long term loans.</t>
  </si>
  <si>
    <t>7.     Income tax expense is 30% of the profit before tax.</t>
  </si>
  <si>
    <t>8.     Dividends is given as 40% of profit after tax.</t>
  </si>
  <si>
    <t>For the statement of financial position assume:</t>
  </si>
  <si>
    <t>1.     Non-current assets are expected to grow at the rate of  5% annually.</t>
  </si>
  <si>
    <t>2.     Inventory is determined from the profit or loss.</t>
  </si>
  <si>
    <t xml:space="preserve">3.     Trade receivables will be 2 months of credit sales. </t>
  </si>
  <si>
    <t>4.     Cash at bank are expected to grow at Sh.50,000 per year.</t>
  </si>
  <si>
    <t xml:space="preserve">5.     Share capital and share premium will remain constant over the period. </t>
  </si>
  <si>
    <t>6.     The longterm bank loan will be the balancing figure in the statement of financial position.</t>
  </si>
  <si>
    <t xml:space="preserve">7.     Trade payables are 2 months of purchases. </t>
  </si>
  <si>
    <t xml:space="preserve">8.     Tax payable is 60% of the tax expense. </t>
  </si>
  <si>
    <t xml:space="preserve">9.     Share price is expected to grow at  the rate of 5% per annum. </t>
  </si>
  <si>
    <t xml:space="preserve">(a)       The forecast statement of profit or loss for the five years from 2025 to 2029. </t>
  </si>
  <si>
    <t xml:space="preserve">  (10 marks)</t>
  </si>
  <si>
    <t xml:space="preserve">(b)     The statement of financial position for the five years from 2025 to 2029. </t>
  </si>
  <si>
    <t>CA35P page 6</t>
  </si>
  <si>
    <t>You are a financial analyst tasked with modelling the financial performance of Evolve Autoworks Ltd., a leading player in the automotive industry. The company is currently being</t>
  </si>
  <si>
    <t xml:space="preserve"> evaluated for acquisition by a private equity (PE) firm.</t>
  </si>
  <si>
    <t>The financial information provided below corresponds to Year 0, the base year:</t>
  </si>
  <si>
    <t>(i)</t>
  </si>
  <si>
    <t>Revenue: Sh.900 million.</t>
  </si>
  <si>
    <t>Cost of goods sold (COGS): Sh.350 million.</t>
  </si>
  <si>
    <t>Operating expenses: Sh.120 million.</t>
  </si>
  <si>
    <t>Earnings before interest, tax, depreciation and amortisation (EBITDA) multiple for acquisition valuation: 5.5x EBITDA.</t>
  </si>
  <si>
    <t>Acquisition financing structure:</t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</si>
  <si>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  40% senior debt, to be repaid in equal annual payments over 10 years.</t>
    </r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</si>
  <si>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  <charset val="2"/>
      </rPr>
      <t xml:space="preserve">    20% mezzanine debt, to be repaid in equal annual payments over 8 years.</t>
    </r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</si>
  <si>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  <charset val="2"/>
      </rPr>
      <t xml:space="preserve">    40% equity contribution.</t>
    </r>
  </si>
  <si>
    <t>(vi)</t>
  </si>
  <si>
    <t>Corporate tax rate: 30%.</t>
  </si>
  <si>
    <t>(vii)</t>
  </si>
  <si>
    <t>Capital expenditure (CapEx): 2.5% of annual revenue.</t>
  </si>
  <si>
    <t>Additional assumptions for financial projections:</t>
  </si>
  <si>
    <t>1 .</t>
  </si>
  <si>
    <t>Revenue is expected to grow at an annual rate of 10% over the next five years.</t>
  </si>
  <si>
    <t>2 .</t>
  </si>
  <si>
    <t>The COGS will remain a fixed percentage of revenue, maintaining a 58.33% ratio.</t>
  </si>
  <si>
    <t>3 .</t>
  </si>
  <si>
    <t>Operating expenses will increase annually by 5% to reflect inflation and business expansion costs.</t>
  </si>
  <si>
    <t>4 .</t>
  </si>
  <si>
    <t>The company will account for depreciation and amortisation at a rate of 5% of revenue each year.</t>
  </si>
  <si>
    <t>5 .</t>
  </si>
  <si>
    <t>The working capital investment required to support business growth will be 10% of the annual revenue increase.</t>
  </si>
  <si>
    <t>6 .</t>
  </si>
  <si>
    <t>The cost of debt financing is structured as follows:</t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</si>
  <si>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  Senior debt interest rate: 12.5% per annum.</t>
    </r>
  </si>
  <si>
    <r>
      <rPr>
        <sz val="12"/>
        <color theme="1"/>
        <rFont val="Symbol"/>
        <family val="1"/>
        <charset val="2"/>
      </rPr>
      <t>·</t>
    </r>
    <r>
      <rPr>
        <sz val="12"/>
        <color theme="1"/>
        <rFont val="Times New Roman"/>
        <family val="1"/>
      </rPr>
      <t xml:space="preserve">    Mezzanine debt interest rate: 17.5% per annum.</t>
    </r>
  </si>
  <si>
    <t>7 .</t>
  </si>
  <si>
    <t>No dividend distributions or additional equity issuances are planned during the projection period.</t>
  </si>
  <si>
    <t>Working capital assumptions:</t>
  </si>
  <si>
    <t xml:space="preserve">· </t>
  </si>
  <si>
    <t>Accounts receivable: 10% of revenue.</t>
  </si>
  <si>
    <t>Inventory: 10% of COGS.</t>
  </si>
  <si>
    <t>Accounts payable: 20% of COGS.</t>
  </si>
  <si>
    <t xml:space="preserve">Prepare a detailed five-year statement of profit or loss incorporating all relevant financial entries based on the provided assumptions. Ensure that revenue growth, cost </t>
  </si>
  <si>
    <t xml:space="preserve">structures, operating expenses, interest expenses, taxes and net income are accurately accounted for. </t>
  </si>
  <si>
    <t>(10 marks)</t>
  </si>
  <si>
    <t>(b)</t>
  </si>
  <si>
    <t>Calculate the Free Cash Flow to Equity (FCFE) for each year using the projected financial statements, ensuring accurate adjustments and deductions.</t>
  </si>
  <si>
    <t xml:space="preserve">(c) </t>
  </si>
  <si>
    <t>Construct a structured private equity fund waterfall model illustrating how cash flows will be allocated between Limited Partners (LPs) and General Partners (GPs) after</t>
  </si>
  <si>
    <t xml:space="preserve">accounting for the preferred return of 8% annually. </t>
  </si>
  <si>
    <t>(Total: 30 marks)</t>
  </si>
  <si>
    <t>CF36P Page 5</t>
  </si>
  <si>
    <t xml:space="preserve">       Out of 8</t>
  </si>
  <si>
    <t xml:space="preserve">       </t>
  </si>
  <si>
    <t xml:space="preserve">Answer only ONE (1) question in this section. </t>
  </si>
  <si>
    <t>QUESTION 24:</t>
  </si>
  <si>
    <t>You have a new audit client, Miriam Akello, who began a dental practice at AMK Doctors' Plaza in the year 2023.</t>
  </si>
  <si>
    <t>The following transactions took place during the year ended 31 December 2023:</t>
  </si>
  <si>
    <t xml:space="preserve">1.     Miriam opened a separate bank account for the practice and deposited Sh.5 million as capital.In addition, she obtained a loan from the bank </t>
  </si>
  <si>
    <t xml:space="preserve">        amounting to Sh.5 million at an interest rate of 12% annually. The loan will be paid over a 5 year period at Sh.1 million annually,  together with  </t>
  </si>
  <si>
    <t xml:space="preserve">        interest due at the end of each year. </t>
  </si>
  <si>
    <t>2.     Miriam imported three dental equipment at a price of Sh.600,000 each and incurred freight, insurance and port clearance costs of Sh.200,000.</t>
  </si>
  <si>
    <t xml:space="preserve">        The equipment is depreciated over five years. </t>
  </si>
  <si>
    <t>3.    Miriam also bought other equipment for Sh.1 million, furniture and fixtures for Sh.2 million and dental books worth Sh.500,000. Both the equipment</t>
  </si>
  <si>
    <t xml:space="preserve">       and furniture were to be depreciated over 8 years, while the dental books have a useful life  of 5 years for the purpose of amortisation. </t>
  </si>
  <si>
    <t>4.    Miriam hired a dental assistant, who also doubled as the clinic administrator at Sh.60,000 monthly salary,  a receptionist, carrying out  other clerical duties</t>
  </si>
  <si>
    <t xml:space="preserve">       at Sh.30,000 per month and a cleaner/casual at Sh.15,000 per month. They all began employment on 1 January 2023.</t>
  </si>
  <si>
    <t xml:space="preserve">5.    Miriam also hired the services of two other dentists to serve the increased number of patients or when she was visiting another hospital for consultation. </t>
  </si>
  <si>
    <t xml:space="preserve">       During the year, the two dentists were paid for professional services at Sh.2 million.  In addition, Miriam offered some interns learning  </t>
  </si>
  <si>
    <t xml:space="preserve">       opportunities and paid them a total stipend of Sh.300,000. </t>
  </si>
  <si>
    <t>6.    During the year, patients paid Sh.6 million in cash, while those on various insurance and medical covers were treated at a total of Sh.4 million.</t>
  </si>
  <si>
    <t xml:space="preserve">       By the end of the year, the corporates and insurance companies had paid Sh.2.8 million directly into the business bank account. Miriam also noted</t>
  </si>
  <si>
    <t xml:space="preserve">       that a client owing Sh.200,000 became bankrupt and would likely not pay, while the balance had nearly 0% probability of default. </t>
  </si>
  <si>
    <t>7.   The cash that was received was banked but after paying for the following items:</t>
  </si>
  <si>
    <t xml:space="preserve">       ●     Surgical and prescription medicine Sh.500,000</t>
  </si>
  <si>
    <t xml:space="preserve">       ●     Stationery Sh.40,000</t>
  </si>
  <si>
    <t xml:space="preserve">       ●     Cleaning consumables Sh.20,000</t>
  </si>
  <si>
    <t xml:space="preserve">      Cash drawings for personal use by Miriam averaged Sh.40,000 per month. By the end of the year, only Sh.120,000 was available in the office safe.</t>
  </si>
  <si>
    <t xml:space="preserve">8.    Majority of transactions took place in the bank, except for the one highlighted in note 7. </t>
  </si>
  <si>
    <t xml:space="preserve">       Miriam placed some amount in a fixed deposit account and earned interest of Sh.120,000. Other expenses were mainly salaries to staff, interest on loan, rent </t>
  </si>
  <si>
    <t xml:space="preserve">       of Sh.100,000 per month, electricity and water worth Sh.60,000 for 11 months to 30 November 2023. She also paid Sh.30,000 as subscriptions to the </t>
  </si>
  <si>
    <t xml:space="preserve">       dental association.</t>
  </si>
  <si>
    <t xml:space="preserve">       Note that Miriam had paid 3 months' deposit on rent, which was refundable upon the termination of the lease. </t>
  </si>
  <si>
    <t xml:space="preserve">       Miriam also drew Sh.60,000 every month for personal expenses from the bank. Meanwhile, the electricity and water bills for December 2023</t>
  </si>
  <si>
    <r>
      <t xml:space="preserve">       had not been paid, but were subsequently received and settled in January</t>
    </r>
    <r>
      <rPr>
        <sz val="12"/>
        <rFont val="Times New Roman"/>
        <family val="1"/>
      </rPr>
      <t xml:space="preserve"> 2024</t>
    </r>
    <r>
      <rPr>
        <sz val="12"/>
        <color theme="1"/>
        <rFont val="Times New Roman"/>
        <family val="1"/>
      </rPr>
      <t xml:space="preserve"> at sh 4500</t>
    </r>
  </si>
  <si>
    <t>9.    Miriam bought surgical and prescription medicine worth Sh.1.5 million on credit. By the end of the year, she had already paid Sh.800,000 of the amount</t>
  </si>
  <si>
    <t xml:space="preserve">       owing while surgical and prescription medicine worth Sh.400,000 was available by the end of the year. </t>
  </si>
  <si>
    <t>Prepare the 3 financial statements</t>
  </si>
  <si>
    <t>Income statements</t>
  </si>
  <si>
    <t>Statement of financial position</t>
  </si>
  <si>
    <t>Statement of Cashflows</t>
  </si>
  <si>
    <t>(a)  With reference to the industry ratios, compute the equivalent ratios for Super Cars Limited for the year ended</t>
  </si>
  <si>
    <t>(b)  Using the ratios computed in (a) above, analyse the financial performance and position of Super Cars Limited for the year ended 31 December 2021 compared to the industry. (8 marks)</t>
  </si>
  <si>
    <t>2. The market price of Super Cars Limited's shares throughout the year averaged Sh.375 each.</t>
  </si>
  <si>
    <t>3.There were no issues or redemption of shares or loans during the year.</t>
  </si>
  <si>
    <t>4. Dividends paid during the year ended 31 December 2021 amounted to Sh.450,000, maintaining the same dividend paid in the year ended 31 December 2020.</t>
  </si>
  <si>
    <t>Amani Pharmaceuticals Limited is a mid-sized firm exploring prospects of future growth. The management of the company</t>
  </si>
  <si>
    <t>has prepared the statement of profit or loss for the year ended 30 June 2022 with forecasts of expected growth rates in the various</t>
  </si>
  <si>
    <t>line items for the next three years.</t>
  </si>
  <si>
    <t>This information is presented below:</t>
  </si>
  <si>
    <t>Amani Pharmaceuticals Limited</t>
  </si>
  <si>
    <t>Statement of profit or loss for the year ended 30 June 2022:</t>
  </si>
  <si>
    <t>Growth Rates: Scenario</t>
  </si>
  <si>
    <t>Worst</t>
  </si>
  <si>
    <t>Base</t>
  </si>
  <si>
    <t>Best</t>
  </si>
  <si>
    <t>%</t>
  </si>
  <si>
    <t>Cost of goods sold</t>
  </si>
  <si>
    <t>Other incomes - Investment income</t>
  </si>
  <si>
    <t>Total Income</t>
  </si>
  <si>
    <t>Administration expenses</t>
  </si>
  <si>
    <t>Earnings before interest, tax, depreciation and amortisation</t>
  </si>
  <si>
    <t>Earnings before interest and tax</t>
  </si>
  <si>
    <t>Earnings before tax</t>
  </si>
  <si>
    <t>Profit after tax (for the period)</t>
  </si>
  <si>
    <t>Retained Profit for the year</t>
  </si>
  <si>
    <t>Retained Profit c/f</t>
  </si>
  <si>
    <t>1. Assume a corporation tax rate of 30%.</t>
  </si>
  <si>
    <t>2. The growth in equity is only attributable to changes in retained profits.</t>
  </si>
  <si>
    <t>Hint: In applying the growth rates, ignore changes in opening and closing balances.</t>
  </si>
  <si>
    <t>3. Total equity will grow only as a result of retained profits.</t>
  </si>
  <si>
    <t>(a) Prepare a spreadsheet showing the forecast statement of profit or loss for the next three years under each of the</t>
  </si>
  <si>
    <t>three scenarios.</t>
  </si>
  <si>
    <t>(b) Compute the following metrics for evaluating performance under each scenario:</t>
  </si>
  <si>
    <t>(i) Net profit margin.</t>
  </si>
  <si>
    <t>(ii) Return on assets.</t>
  </si>
  <si>
    <t>(iii) Return on equity.</t>
  </si>
  <si>
    <t>(c) Present a summarised dash board with suitable graphs to highlight the revenues and net profit under each scenario.</t>
  </si>
  <si>
    <t>Answer BOTH questions in this Section.</t>
  </si>
  <si>
    <t>Zeddy Limited has just completed its strategic plan for the next five years commencing 1 January 2023.   The company is optimistic</t>
  </si>
  <si>
    <t>about future performance and would like to prepare forecast financial statements for the years 2023 to 2027.</t>
  </si>
  <si>
    <t>The actual financial statements for the year ended 31 December 2022 with the projected growth rates are provided as follows:</t>
  </si>
  <si>
    <t>Statement of profit or loss for the year ended 31 December 2022:</t>
  </si>
  <si>
    <t xml:space="preserve">Annual growth rate in % </t>
  </si>
  <si>
    <t>Retained profit for the year</t>
  </si>
  <si>
    <t>Statement of financial position as at 31 December 2022:</t>
  </si>
  <si>
    <t>Assets</t>
  </si>
  <si>
    <t>Annual growth rate in %</t>
  </si>
  <si>
    <t>Non current assets:</t>
  </si>
  <si>
    <t>Cash and bank</t>
  </si>
  <si>
    <t>Ordinary share capital</t>
  </si>
  <si>
    <t>Non current liabilities:</t>
  </si>
  <si>
    <t>Bank loans</t>
  </si>
  <si>
    <t>1. Finance cost is 5% of the previous period's bank loans.</t>
  </si>
  <si>
    <t>2. Tax will be on average 25% of the profit before tax.</t>
  </si>
  <si>
    <t>3. The company will maintain the same dividend pay out.</t>
  </si>
  <si>
    <t xml:space="preserve">4. Apart from the beginning of year 2025 when the company will raise more equity comprising share capital Sh.500,000 and </t>
  </si>
  <si>
    <t xml:space="preserve">    Sh.100,000 share premium, the balancing figure in the financial statements is the bank loans.</t>
  </si>
  <si>
    <t>(a)  The forecast financial statements for each of the years from 2023 to 2027.</t>
  </si>
  <si>
    <t xml:space="preserve">                                                        </t>
  </si>
  <si>
    <t xml:space="preserve">              (18 marks)</t>
  </si>
  <si>
    <t>(b)  Construct appropriate graphs/charts that will appear in the company's dashboard summarising the following:</t>
  </si>
  <si>
    <t xml:space="preserve">      (i)     Revenue.</t>
  </si>
  <si>
    <t xml:space="preserve">      (ii)     Profit after tax.</t>
  </si>
  <si>
    <t xml:space="preserve">      (iii)    Total assets.</t>
  </si>
  <si>
    <t xml:space="preserve">      (iv)    Total equity.</t>
  </si>
  <si>
    <t xml:space="preserve">      (v)     Net profit margin.</t>
  </si>
  <si>
    <t xml:space="preserve">      (vi)    Debt ratio.</t>
  </si>
  <si>
    <t xml:space="preserve">              (Total: 30 marks)</t>
  </si>
  <si>
    <t>=Total Liabilities/Total Assets</t>
  </si>
  <si>
    <t>=Net profit/Net sales</t>
  </si>
  <si>
    <t>=Gross profit/Net sales</t>
  </si>
  <si>
    <t>=Cost of sales/average inventory</t>
  </si>
  <si>
    <t>=Net income/Total assets</t>
  </si>
  <si>
    <t>=Sales/Total Fixed assets</t>
  </si>
  <si>
    <t>Debtors collection period</t>
  </si>
  <si>
    <t>Creditors payment period</t>
  </si>
  <si>
    <t>=Net sales/Average Debtors</t>
  </si>
  <si>
    <t>=[average debtors/Credit sales]*365</t>
  </si>
  <si>
    <t>=[average creditors/ credit purchases]*365</t>
  </si>
  <si>
    <t>Net profit=net sales*net profit margin</t>
  </si>
  <si>
    <t>Gross profit=Net sales*gross profit margin</t>
  </si>
  <si>
    <t>GP=Net sales -cost of sales</t>
  </si>
  <si>
    <t>Cost of sales=Net sales-GP</t>
  </si>
  <si>
    <t>Grosss profit margin      GP/sales  a/b</t>
  </si>
  <si>
    <t>Gross profit markup GP/cost of sales   a/ b-a</t>
  </si>
  <si>
    <t>cost of sales=GP/gross profit markup</t>
  </si>
  <si>
    <t>Average inventory</t>
  </si>
  <si>
    <t>Total fixed assets</t>
  </si>
  <si>
    <t>NON CURRENT ASSETS</t>
  </si>
  <si>
    <t>Fixed assets</t>
  </si>
  <si>
    <t>CURRENT ASSETS</t>
  </si>
  <si>
    <t>Debtors</t>
  </si>
  <si>
    <t>Average debtors</t>
  </si>
  <si>
    <t>cash equivalents</t>
  </si>
  <si>
    <t>STATEMENT OF FINANCIAL POSITION</t>
  </si>
  <si>
    <t xml:space="preserve"> AS AT 31 DECEMBER 2024</t>
  </si>
  <si>
    <t>FURAHA LIMITED</t>
  </si>
  <si>
    <t>TOTAL ASSETS</t>
  </si>
  <si>
    <t>Non current liabilities</t>
  </si>
  <si>
    <t>STATEMENT OF PROFIT OR LOSS</t>
  </si>
  <si>
    <t>FOR THE YEAR ENDED 31 DECEMBER 2024</t>
  </si>
  <si>
    <t>PBT</t>
  </si>
  <si>
    <t>Tax expense</t>
  </si>
  <si>
    <t>Net profit</t>
  </si>
  <si>
    <t>EQUITY &amp; LIABILITIES</t>
  </si>
  <si>
    <t>EQUITY</t>
  </si>
  <si>
    <t>RESERVES</t>
  </si>
  <si>
    <t>SHAREHOLDERS' EQUITY</t>
  </si>
  <si>
    <t>NON-CURRENT LIABILITIES</t>
  </si>
  <si>
    <t>Long-term liability</t>
  </si>
  <si>
    <t>CURRENT LIABILTIES</t>
  </si>
  <si>
    <t>TOTAL LIABILITIES</t>
  </si>
  <si>
    <t>TOTAL EQUITY &amp; LIABILITIES</t>
  </si>
  <si>
    <t>check</t>
  </si>
  <si>
    <t>(c) Create a visual representation (graphs or charts) of the liquidity and profitability  ratios calculated in (b) above.</t>
  </si>
  <si>
    <t>Units produced and sold</t>
  </si>
  <si>
    <t>Selling price</t>
  </si>
  <si>
    <t>Salaries and benefits</t>
  </si>
  <si>
    <t>Rent and overhead expense</t>
  </si>
  <si>
    <t>Depreciation and amortization</t>
  </si>
  <si>
    <t>LOAN</t>
  </si>
  <si>
    <t>Interest rate</t>
  </si>
  <si>
    <t>Years</t>
  </si>
  <si>
    <t>Frequency</t>
  </si>
  <si>
    <t>end of each year</t>
  </si>
  <si>
    <t>PMT= LOAN /PVIFA</t>
  </si>
  <si>
    <t>Bal b/d</t>
  </si>
  <si>
    <t>Installment</t>
  </si>
  <si>
    <t>Principal</t>
  </si>
  <si>
    <t>Bal c/d</t>
  </si>
  <si>
    <t>PMT=IPMT+PPMT</t>
  </si>
  <si>
    <t>PPMT=PMT-IPMT</t>
  </si>
  <si>
    <t>Capital expenditure/PPE</t>
  </si>
  <si>
    <t>Bal  b/d</t>
  </si>
  <si>
    <t>Additions</t>
  </si>
  <si>
    <t>Total balance</t>
  </si>
  <si>
    <t>Depreciation</t>
  </si>
  <si>
    <t>PPE</t>
  </si>
  <si>
    <t>cash and cash equivalents c/d</t>
  </si>
  <si>
    <t>share capital</t>
  </si>
  <si>
    <t>SHAREHOLDERS EQUITY</t>
  </si>
  <si>
    <t>Long-term loan</t>
  </si>
  <si>
    <t>CURRENT LIABLITIES</t>
  </si>
  <si>
    <t>Check</t>
  </si>
  <si>
    <t>[Average debtors/credit sales]*365</t>
  </si>
  <si>
    <t>Debtors collection period=</t>
  </si>
  <si>
    <t>[TR/SALES]*365</t>
  </si>
  <si>
    <t>TR/SALES</t>
  </si>
  <si>
    <t>TR</t>
  </si>
  <si>
    <t>30/365   =</t>
  </si>
  <si>
    <t>=[30/365]*SALES</t>
  </si>
  <si>
    <t>=[14/365]*cost of sales</t>
  </si>
  <si>
    <t>creditors payment period=</t>
  </si>
  <si>
    <t>(average creditors/credit purchases)*365</t>
  </si>
  <si>
    <t>TP/cost of sales</t>
  </si>
  <si>
    <t>TP payment period/365=</t>
  </si>
  <si>
    <t>TP</t>
  </si>
  <si>
    <t>(TP payment period/365)*Cost of sales=</t>
  </si>
  <si>
    <t>OPERATING ACTIVITIES</t>
  </si>
  <si>
    <t>Adjustement for non cash items</t>
  </si>
  <si>
    <t>cashflows before adjustment for WC</t>
  </si>
  <si>
    <t>Cashflows after adjustment for WC</t>
  </si>
  <si>
    <t>Tax paid</t>
  </si>
  <si>
    <t>Finance cost paid</t>
  </si>
  <si>
    <t>Net cashflows from operating activities</t>
  </si>
  <si>
    <t>CASHFLOWS FROM INVESTING ACTIVITIES</t>
  </si>
  <si>
    <t>CASHFLOWS FROM FINANCING ACTIVITIES</t>
  </si>
  <si>
    <t>Increase in Trade receivables</t>
  </si>
  <si>
    <t>Increase in Trade payables</t>
  </si>
  <si>
    <t>Increase in Inventory</t>
  </si>
  <si>
    <t>Repayment/Acquisition loans</t>
  </si>
  <si>
    <t>Net changes in cash and cash equivalents</t>
  </si>
  <si>
    <t>cash and cash equivalents b/d</t>
  </si>
  <si>
    <t>STATEMENT OF CASHFLOWS</t>
  </si>
  <si>
    <t>Return on Assets</t>
  </si>
  <si>
    <t>Net profit margin ratio</t>
  </si>
  <si>
    <t>Quick Ratio</t>
  </si>
  <si>
    <t>Profitability Ratios</t>
  </si>
  <si>
    <t>Liquidity Ratios</t>
  </si>
  <si>
    <t>COGAS=OS+P</t>
  </si>
  <si>
    <t>COS=COGAS-CS</t>
  </si>
  <si>
    <t>COS=OS+P-CS</t>
  </si>
  <si>
    <t>COGAS</t>
  </si>
  <si>
    <t>CS=COS-COGAS</t>
  </si>
  <si>
    <t>CS=OS+P-OS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</si>
</sst>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_-;\-* #,##0_-;_-* &quot;-&quot;??_-;_-@_-"/>
    <numFmt numFmtId="168" formatCode="#,##0.00000"/>
    <numFmt numFmtId="169" formatCode="0.000%"/>
    <numFmt numFmtId="170" formatCode="0.0000%"/>
    <numFmt numFmtId="171" formatCode="#,##0.00;\(#,##0.00\)"/>
    <numFmt numFmtId="172" formatCode="_-* #,##0_-;\-* #,##0_-;_-* &quot;-&quot;??_-;_-@"/>
    <numFmt numFmtId="173" formatCode="_-* #,##0.0_-;\-* #,##0.0_-;_-* &quot;-&quot;?_-;_-@_-"/>
    <numFmt numFmtId="174" formatCode="#,##0_ ;\-#,##0\ "/>
    <numFmt numFmtId="175" formatCode="_(* #,##0.0_);_(* \(#,##0.0\);_(* &quot;-&quot;?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u val="double"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u val="singleAccounting"/>
      <sz val="18"/>
      <color theme="1"/>
      <name val="Times New Roman"/>
      <family val="1"/>
    </font>
    <font>
      <u val="doubleAccounting"/>
      <sz val="18"/>
      <color theme="1"/>
      <name val="Times New Roman"/>
      <family val="1"/>
    </font>
    <font>
      <u val="doubleAccounting"/>
      <sz val="14"/>
      <color theme="1"/>
      <name val="Times New Roman"/>
      <family val="1"/>
    </font>
    <font>
      <u/>
      <sz val="16"/>
      <color theme="1"/>
      <name val="Times New Roman"/>
      <family val="1"/>
    </font>
    <font>
      <u val="double"/>
      <sz val="16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 val="singleAccounting"/>
      <sz val="12"/>
      <color theme="1"/>
      <name val="Times New Roman"/>
      <family val="1"/>
    </font>
    <font>
      <u val="doubleAccounting"/>
      <sz val="12"/>
      <color theme="1"/>
      <name val="Goudy Old Style"/>
      <family val="1"/>
    </font>
    <font>
      <b/>
      <u val="doub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color theme="1"/>
      <name val="Times New Roman"/>
      <family val="1"/>
      <charset val="2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216">
    <xf numFmtId="0" fontId="0" fillId="0" borderId="0" xfId="0"/>
    <xf numFmtId="10" fontId="0" fillId="0" borderId="0" xfId="1" applyNumberFormat="1" applyFont="1"/>
    <xf numFmtId="1" fontId="0" fillId="0" borderId="0" xfId="0" applyNumberFormat="1"/>
    <xf numFmtId="9" fontId="0" fillId="0" borderId="0" xfId="1" applyFont="1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5" fillId="0" borderId="0" xfId="0" applyFont="1"/>
    <xf numFmtId="0" fontId="25" fillId="0" borderId="0" xfId="0" applyFont="1"/>
    <xf numFmtId="0" fontId="26" fillId="0" borderId="0" xfId="0" applyFont="1"/>
    <xf numFmtId="49" fontId="15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3" fontId="14" fillId="0" borderId="0" xfId="0" applyNumberFormat="1" applyFont="1"/>
    <xf numFmtId="166" fontId="15" fillId="0" borderId="0" xfId="2" applyNumberFormat="1" applyFont="1"/>
    <xf numFmtId="9" fontId="15" fillId="0" borderId="0" xfId="0" applyNumberFormat="1" applyFont="1"/>
    <xf numFmtId="165" fontId="15" fillId="0" borderId="0" xfId="0" applyNumberFormat="1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8" fillId="0" borderId="0" xfId="0" applyFont="1"/>
    <xf numFmtId="10" fontId="5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right"/>
    </xf>
    <xf numFmtId="166" fontId="31" fillId="0" borderId="0" xfId="2" applyNumberFormat="1" applyFont="1" applyBorder="1"/>
    <xf numFmtId="166" fontId="32" fillId="0" borderId="0" xfId="2" applyNumberFormat="1" applyFont="1" applyBorder="1"/>
    <xf numFmtId="166" fontId="32" fillId="0" borderId="0" xfId="2" applyNumberFormat="1" applyFont="1" applyBorder="1" applyAlignment="1">
      <alignment horizontal="right"/>
    </xf>
    <xf numFmtId="166" fontId="33" fillId="0" borderId="0" xfId="2" applyNumberFormat="1" applyFont="1" applyBorder="1"/>
    <xf numFmtId="164" fontId="31" fillId="0" borderId="0" xfId="2" applyFont="1" applyBorder="1"/>
    <xf numFmtId="164" fontId="32" fillId="0" borderId="0" xfId="2" applyFont="1" applyBorder="1"/>
    <xf numFmtId="164" fontId="33" fillId="0" borderId="0" xfId="2" applyFont="1" applyBorder="1"/>
    <xf numFmtId="164" fontId="34" fillId="0" borderId="0" xfId="2" applyFont="1" applyBorder="1"/>
    <xf numFmtId="166" fontId="21" fillId="0" borderId="0" xfId="2" applyNumberFormat="1" applyFont="1" applyBorder="1"/>
    <xf numFmtId="0" fontId="23" fillId="0" borderId="0" xfId="0" applyFont="1" applyAlignment="1">
      <alignment horizontal="left"/>
    </xf>
    <xf numFmtId="166" fontId="31" fillId="0" borderId="0" xfId="2" applyNumberFormat="1" applyFont="1"/>
    <xf numFmtId="3" fontId="31" fillId="0" borderId="0" xfId="0" applyNumberFormat="1" applyFont="1"/>
    <xf numFmtId="164" fontId="31" fillId="0" borderId="0" xfId="2" applyFont="1"/>
    <xf numFmtId="10" fontId="31" fillId="0" borderId="0" xfId="2" applyNumberFormat="1" applyFont="1"/>
    <xf numFmtId="10" fontId="31" fillId="0" borderId="0" xfId="0" applyNumberFormat="1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17" fontId="24" fillId="0" borderId="0" xfId="0" applyNumberFormat="1" applyFont="1" applyAlignment="1">
      <alignment horizontal="left"/>
    </xf>
    <xf numFmtId="167" fontId="24" fillId="0" borderId="0" xfId="2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167" fontId="24" fillId="0" borderId="0" xfId="2" applyNumberFormat="1" applyFont="1" applyAlignment="1">
      <alignment horizontal="right"/>
    </xf>
    <xf numFmtId="17" fontId="23" fillId="0" borderId="0" xfId="0" applyNumberFormat="1" applyFont="1"/>
    <xf numFmtId="17" fontId="24" fillId="0" borderId="0" xfId="0" applyNumberFormat="1" applyFont="1" applyAlignment="1">
      <alignment horizontal="center"/>
    </xf>
    <xf numFmtId="17" fontId="26" fillId="0" borderId="0" xfId="0" applyNumberFormat="1" applyFont="1"/>
    <xf numFmtId="0" fontId="26" fillId="0" borderId="0" xfId="0" applyFont="1" applyAlignment="1">
      <alignment horizontal="right"/>
    </xf>
    <xf numFmtId="167" fontId="24" fillId="0" borderId="0" xfId="2" applyNumberFormat="1" applyFont="1"/>
    <xf numFmtId="167" fontId="15" fillId="0" borderId="0" xfId="2" applyNumberFormat="1" applyFont="1"/>
    <xf numFmtId="167" fontId="35" fillId="0" borderId="0" xfId="2" applyNumberFormat="1" applyFont="1"/>
    <xf numFmtId="167" fontId="16" fillId="0" borderId="0" xfId="2" applyNumberFormat="1" applyFont="1"/>
    <xf numFmtId="17" fontId="23" fillId="0" borderId="0" xfId="0" applyNumberFormat="1" applyFont="1" applyAlignment="1">
      <alignment horizontal="right"/>
    </xf>
    <xf numFmtId="167" fontId="36" fillId="0" borderId="0" xfId="2" applyNumberFormat="1" applyFont="1"/>
    <xf numFmtId="167" fontId="17" fillId="0" borderId="0" xfId="2" applyNumberFormat="1" applyFont="1"/>
    <xf numFmtId="10" fontId="15" fillId="0" borderId="0" xfId="0" applyNumberFormat="1" applyFont="1"/>
    <xf numFmtId="0" fontId="26" fillId="0" borderId="0" xfId="0" applyFont="1" applyAlignment="1">
      <alignment wrapText="1"/>
    </xf>
    <xf numFmtId="43" fontId="15" fillId="0" borderId="0" xfId="0" applyNumberFormat="1" applyFont="1"/>
    <xf numFmtId="167" fontId="15" fillId="0" borderId="0" xfId="0" applyNumberFormat="1" applyFont="1"/>
    <xf numFmtId="167" fontId="37" fillId="0" borderId="0" xfId="0" applyNumberFormat="1" applyFont="1"/>
    <xf numFmtId="164" fontId="38" fillId="0" borderId="0" xfId="2" applyFont="1"/>
    <xf numFmtId="9" fontId="5" fillId="0" borderId="0" xfId="0" applyNumberFormat="1" applyFont="1" applyAlignment="1">
      <alignment vertical="center"/>
    </xf>
    <xf numFmtId="169" fontId="0" fillId="0" borderId="0" xfId="1" applyNumberFormat="1" applyFont="1"/>
    <xf numFmtId="168" fontId="4" fillId="0" borderId="0" xfId="0" applyNumberFormat="1" applyFont="1" applyAlignment="1">
      <alignment horizontal="right" vertical="center"/>
    </xf>
    <xf numFmtId="169" fontId="5" fillId="0" borderId="0" xfId="1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0" fillId="0" borderId="0" xfId="0" quotePrefix="1"/>
    <xf numFmtId="166" fontId="0" fillId="0" borderId="0" xfId="2" quotePrefix="1" applyNumberFormat="1" applyFont="1"/>
    <xf numFmtId="10" fontId="15" fillId="0" borderId="0" xfId="1" applyNumberFormat="1" applyFont="1" applyAlignment="1">
      <alignment horizontal="right" vertical="center"/>
    </xf>
    <xf numFmtId="170" fontId="15" fillId="0" borderId="0" xfId="1" applyNumberFormat="1" applyFont="1" applyAlignment="1">
      <alignment horizontal="right" vertical="center"/>
    </xf>
    <xf numFmtId="166" fontId="0" fillId="0" borderId="0" xfId="2" applyNumberFormat="1" applyFont="1"/>
    <xf numFmtId="166" fontId="12" fillId="0" borderId="0" xfId="2" applyNumberFormat="1" applyFont="1"/>
    <xf numFmtId="1" fontId="19" fillId="0" borderId="0" xfId="0" applyNumberFormat="1" applyFont="1"/>
    <xf numFmtId="1" fontId="39" fillId="0" borderId="0" xfId="0" applyNumberFormat="1" applyFont="1"/>
    <xf numFmtId="1" fontId="2" fillId="0" borderId="0" xfId="0" applyNumberFormat="1" applyFont="1"/>
    <xf numFmtId="0" fontId="27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166" fontId="15" fillId="0" borderId="0" xfId="2" applyNumberFormat="1" applyFont="1" applyAlignment="1">
      <alignment horizontal="center"/>
    </xf>
    <xf numFmtId="166" fontId="37" fillId="0" borderId="0" xfId="2" applyNumberFormat="1" applyFont="1" applyBorder="1" applyAlignment="1">
      <alignment horizontal="center"/>
    </xf>
    <xf numFmtId="166" fontId="37" fillId="0" borderId="0" xfId="2" applyNumberFormat="1" applyFont="1" applyAlignment="1">
      <alignment horizontal="center"/>
    </xf>
    <xf numFmtId="166" fontId="37" fillId="0" borderId="0" xfId="2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6" fontId="15" fillId="0" borderId="0" xfId="2" applyNumberFormat="1" applyFont="1" applyBorder="1" applyAlignment="1">
      <alignment horizontal="center"/>
    </xf>
    <xf numFmtId="166" fontId="40" fillId="0" borderId="0" xfId="2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166" fontId="5" fillId="0" borderId="0" xfId="2" applyNumberFormat="1" applyFont="1" applyAlignment="1">
      <alignment vertical="center"/>
    </xf>
    <xf numFmtId="166" fontId="5" fillId="0" borderId="0" xfId="2" applyNumberFormat="1" applyFont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166" fontId="7" fillId="0" borderId="0" xfId="2" applyNumberFormat="1" applyFont="1" applyAlignment="1">
      <alignment horizontal="center"/>
    </xf>
    <xf numFmtId="166" fontId="7" fillId="0" borderId="0" xfId="2" applyNumberFormat="1" applyFont="1"/>
    <xf numFmtId="166" fontId="8" fillId="0" borderId="0" xfId="2" applyNumberFormat="1" applyFont="1" applyAlignment="1">
      <alignment horizontal="right" vertical="center"/>
    </xf>
    <xf numFmtId="166" fontId="10" fillId="0" borderId="0" xfId="2" applyNumberFormat="1" applyFont="1" applyAlignment="1">
      <alignment horizontal="right" vertical="center"/>
    </xf>
    <xf numFmtId="166" fontId="6" fillId="0" borderId="0" xfId="2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164" fontId="15" fillId="0" borderId="0" xfId="2" applyFont="1" applyAlignment="1">
      <alignment horizontal="left" vertical="center"/>
    </xf>
    <xf numFmtId="164" fontId="26" fillId="0" borderId="0" xfId="2" applyFont="1" applyAlignment="1">
      <alignment horizontal="left" vertical="center"/>
    </xf>
    <xf numFmtId="164" fontId="37" fillId="0" borderId="0" xfId="2" applyFont="1" applyAlignment="1">
      <alignment horizontal="left" vertical="center"/>
    </xf>
    <xf numFmtId="171" fontId="16" fillId="0" borderId="0" xfId="0" applyNumberFormat="1" applyFont="1" applyAlignment="1">
      <alignment horizontal="right"/>
    </xf>
    <xf numFmtId="171" fontId="16" fillId="0" borderId="0" xfId="0" applyNumberFormat="1" applyFont="1"/>
    <xf numFmtId="171" fontId="15" fillId="0" borderId="0" xfId="0" applyNumberFormat="1" applyFont="1"/>
    <xf numFmtId="171" fontId="17" fillId="0" borderId="0" xfId="0" applyNumberFormat="1" applyFont="1"/>
    <xf numFmtId="164" fontId="15" fillId="0" borderId="0" xfId="2" applyFont="1" applyBorder="1"/>
    <xf numFmtId="164" fontId="15" fillId="0" borderId="0" xfId="3" applyFont="1" applyFill="1"/>
    <xf numFmtId="164" fontId="37" fillId="0" borderId="0" xfId="3" applyFont="1" applyFill="1"/>
    <xf numFmtId="164" fontId="15" fillId="0" borderId="0" xfId="2" applyFont="1"/>
    <xf numFmtId="43" fontId="37" fillId="0" borderId="0" xfId="0" applyNumberFormat="1" applyFont="1"/>
    <xf numFmtId="43" fontId="41" fillId="0" borderId="0" xfId="0" applyNumberFormat="1" applyFont="1"/>
    <xf numFmtId="0" fontId="26" fillId="0" borderId="0" xfId="0" applyFont="1" applyAlignment="1">
      <alignment horizontal="left" vertical="top"/>
    </xf>
    <xf numFmtId="43" fontId="42" fillId="0" borderId="0" xfId="0" applyNumberFormat="1" applyFont="1"/>
    <xf numFmtId="43" fontId="40" fillId="0" borderId="0" xfId="0" applyNumberFormat="1" applyFont="1"/>
    <xf numFmtId="164" fontId="40" fillId="0" borderId="0" xfId="3" applyFont="1" applyFill="1"/>
    <xf numFmtId="164" fontId="42" fillId="0" borderId="0" xfId="3" applyFont="1" applyFill="1"/>
    <xf numFmtId="164" fontId="26" fillId="0" borderId="0" xfId="3" applyFont="1" applyFill="1"/>
    <xf numFmtId="171" fontId="43" fillId="0" borderId="0" xfId="0" applyNumberFormat="1" applyFont="1"/>
    <xf numFmtId="171" fontId="26" fillId="0" borderId="0" xfId="0" applyNumberFormat="1" applyFont="1"/>
    <xf numFmtId="171" fontId="26" fillId="0" borderId="0" xfId="3" applyNumberFormat="1" applyFont="1" applyFill="1"/>
    <xf numFmtId="166" fontId="0" fillId="0" borderId="0" xfId="2" applyNumberFormat="1" applyFont="1" applyAlignment="1">
      <alignment horizontal="center"/>
    </xf>
    <xf numFmtId="166" fontId="2" fillId="0" borderId="0" xfId="2" applyNumberFormat="1" applyFont="1" applyAlignment="1">
      <alignment horizontal="center"/>
    </xf>
    <xf numFmtId="166" fontId="2" fillId="0" borderId="1" xfId="2" applyNumberFormat="1" applyFont="1" applyBorder="1" applyAlignment="1">
      <alignment horizontal="center"/>
    </xf>
    <xf numFmtId="10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166" fontId="2" fillId="0" borderId="0" xfId="2" applyNumberFormat="1" applyFont="1"/>
    <xf numFmtId="172" fontId="26" fillId="0" borderId="0" xfId="0" applyNumberFormat="1" applyFont="1"/>
    <xf numFmtId="172" fontId="15" fillId="0" borderId="0" xfId="0" applyNumberFormat="1" applyFont="1"/>
    <xf numFmtId="0" fontId="15" fillId="0" borderId="0" xfId="0" quotePrefix="1" applyFont="1"/>
    <xf numFmtId="166" fontId="15" fillId="0" borderId="0" xfId="0" applyNumberFormat="1" applyFont="1"/>
    <xf numFmtId="12" fontId="15" fillId="0" borderId="0" xfId="0" applyNumberFormat="1" applyFont="1"/>
    <xf numFmtId="173" fontId="15" fillId="0" borderId="0" xfId="0" applyNumberFormat="1" applyFont="1"/>
    <xf numFmtId="174" fontId="15" fillId="0" borderId="0" xfId="0" applyNumberFormat="1" applyFont="1"/>
    <xf numFmtId="175" fontId="15" fillId="0" borderId="0" xfId="2" applyNumberFormat="1" applyFont="1"/>
    <xf numFmtId="166" fontId="26" fillId="0" borderId="0" xfId="2" applyNumberFormat="1" applyFont="1"/>
    <xf numFmtId="9" fontId="15" fillId="0" borderId="0" xfId="1" applyFont="1"/>
    <xf numFmtId="1" fontId="26" fillId="0" borderId="0" xfId="2" applyNumberFormat="1" applyFont="1"/>
    <xf numFmtId="173" fontId="26" fillId="0" borderId="0" xfId="0" applyNumberFormat="1" applyFont="1"/>
    <xf numFmtId="0" fontId="15" fillId="2" borderId="0" xfId="0" applyFont="1" applyFill="1"/>
    <xf numFmtId="166" fontId="26" fillId="0" borderId="0" xfId="0" applyNumberFormat="1" applyFont="1"/>
    <xf numFmtId="164" fontId="15" fillId="0" borderId="0" xfId="2" applyNumberFormat="1" applyFont="1"/>
    <xf numFmtId="0" fontId="15" fillId="3" borderId="0" xfId="0" applyFont="1" applyFill="1"/>
    <xf numFmtId="166" fontId="15" fillId="3" borderId="0" xfId="2" applyNumberFormat="1" applyFont="1" applyFill="1"/>
    <xf numFmtId="0" fontId="46" fillId="0" borderId="0" xfId="0" applyFont="1"/>
    <xf numFmtId="0" fontId="15" fillId="0" borderId="0" xfId="0" applyFont="1" applyFill="1"/>
    <xf numFmtId="166" fontId="15" fillId="0" borderId="0" xfId="2" applyNumberFormat="1" applyFont="1" applyFill="1"/>
    <xf numFmtId="166" fontId="15" fillId="0" borderId="0" xfId="2" quotePrefix="1" applyNumberFormat="1" applyFont="1"/>
    <xf numFmtId="1" fontId="15" fillId="0" borderId="0" xfId="2" applyNumberFormat="1" applyFont="1"/>
    <xf numFmtId="0" fontId="47" fillId="0" borderId="0" xfId="0" applyFont="1"/>
    <xf numFmtId="166" fontId="47" fillId="0" borderId="0" xfId="1" applyNumberFormat="1" applyFont="1"/>
    <xf numFmtId="166" fontId="47" fillId="0" borderId="0" xfId="2" applyNumberFormat="1" applyFont="1"/>
    <xf numFmtId="0" fontId="26" fillId="0" borderId="1" xfId="0" applyFont="1" applyBorder="1"/>
    <xf numFmtId="166" fontId="26" fillId="0" borderId="1" xfId="2" applyNumberFormat="1" applyFont="1" applyBorder="1"/>
    <xf numFmtId="166" fontId="47" fillId="0" borderId="1" xfId="2" applyNumberFormat="1" applyFont="1" applyBorder="1"/>
    <xf numFmtId="10" fontId="15" fillId="0" borderId="0" xfId="1" applyNumberFormat="1" applyFont="1"/>
    <xf numFmtId="171" fontId="26" fillId="0" borderId="0" xfId="0" applyNumberFormat="1" applyFont="1" applyAlignment="1">
      <alignment horizontal="left" vertical="center"/>
    </xf>
    <xf numFmtId="43" fontId="26" fillId="0" borderId="0" xfId="0" applyNumberFormat="1" applyFont="1" applyAlignment="1">
      <alignment horizontal="left" vertical="center"/>
    </xf>
    <xf numFmtId="43" fontId="15" fillId="0" borderId="0" xfId="0" applyNumberFormat="1" applyFont="1" applyAlignment="1">
      <alignment horizontal="left" vertical="center"/>
    </xf>
    <xf numFmtId="9" fontId="26" fillId="0" borderId="0" xfId="1" applyFont="1"/>
    <xf numFmtId="9" fontId="26" fillId="0" borderId="0" xfId="0" applyNumberFormat="1" applyFont="1"/>
    <xf numFmtId="2" fontId="15" fillId="0" borderId="0" xfId="0" applyNumberFormat="1" applyFont="1"/>
    <xf numFmtId="0" fontId="27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</cellXfs>
  <cellStyles count="4">
    <cellStyle name="Comma" xfId="2" builtinId="3"/>
    <cellStyle name="Comma 2" xfId="3" xr:uid="{70F69F30-AC2E-4C24-80E0-B6F57F4CEB67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Profitability</a:t>
            </a:r>
            <a:r>
              <a:rPr lang="en-US" baseline="0"/>
              <a:t> Ratios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'FMDA APRIL 2023 Q22'!$D$81</c:f>
              <c:strCache>
                <c:ptCount val="1"/>
                <c:pt idx="0">
                  <c:v>Return on Assets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'FMDA APRIL 2023 Q22'!$E$80:$I$80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'FMDA APRIL 2023 Q22'!$E$81:$I$81</c:f>
              <c:numCache>
                <c:formatCode>0.00%</c:formatCode>
                <c:ptCount val="5"/>
                <c:pt idx="0">
                  <c:v>0.11809587858959035</c:v>
                </c:pt>
                <c:pt idx="1">
                  <c:v>0.15681224098178451</c:v>
                </c:pt>
                <c:pt idx="2">
                  <c:v>0.174689680412008</c:v>
                </c:pt>
                <c:pt idx="3">
                  <c:v>0.17962147968494907</c:v>
                </c:pt>
                <c:pt idx="4">
                  <c:v>0.177471156700168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6-4927-A68B-9844A5ECEAB0}"/>
            </c:ext>
          </c:extLst>
        </c:ser>
        <c:ser>
          <c:idx val="1"/>
          <c:order val="1"/>
          <c:tx>
            <c:strRef>
              <c:f>'FMDA APRIL 2023 Q22'!$D$82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'FMDA APRIL 2023 Q22'!$E$80:$I$80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'FMDA APRIL 2023 Q22'!$E$82:$I$82</c:f>
              <c:numCache>
                <c:formatCode>0.00%</c:formatCode>
                <c:ptCount val="5"/>
                <c:pt idx="0">
                  <c:v>0.16558888564395677</c:v>
                </c:pt>
                <c:pt idx="1">
                  <c:v>0.19825684967613211</c:v>
                </c:pt>
                <c:pt idx="2">
                  <c:v>0.20258359712227131</c:v>
                </c:pt>
                <c:pt idx="3">
                  <c:v>0.19458101615430201</c:v>
                </c:pt>
                <c:pt idx="4">
                  <c:v>0.18231115072792614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6-4927-A68B-9844A5ECEAB0}"/>
            </c:ext>
          </c:extLst>
        </c:ser>
        <c:ser>
          <c:idx val="2"/>
          <c:order val="2"/>
          <c:tx>
            <c:strRef>
              <c:f>'FMDA APRIL 2023 Q22'!$D$83</c:f>
              <c:strCache>
                <c:ptCount val="1"/>
                <c:pt idx="0">
                  <c:v>Net profit margin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'FMDA APRIL 2023 Q22'!$E$80:$I$80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'FMDA APRIL 2023 Q22'!$E$83:$I$83</c:f>
              <c:numCache>
                <c:formatCode>0.00%</c:formatCode>
                <c:ptCount val="5"/>
                <c:pt idx="0">
                  <c:v>0.10727027027027027</c:v>
                </c:pt>
                <c:pt idx="1">
                  <c:v>0.15256391857287829</c:v>
                </c:pt>
                <c:pt idx="2">
                  <c:v>0.18618875520667466</c:v>
                </c:pt>
                <c:pt idx="3">
                  <c:v>0.21146499007465597</c:v>
                </c:pt>
                <c:pt idx="4">
                  <c:v>0.23076708655584116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6-4927-A68B-9844A5ECE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287503"/>
        <c:axId val="922274063"/>
      </c:lineChart>
      <c:catAx>
        <c:axId val="922287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274063"/>
        <c:crosses val="autoZero"/>
        <c:auto val="1"/>
        <c:lblAlgn val="ctr"/>
        <c:lblOffset val="100"/>
        <c:noMultiLvlLbl val="0"/>
      </c:catAx>
      <c:valAx>
        <c:axId val="92227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ratios as a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2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Liquidity</a:t>
            </a:r>
            <a:r>
              <a:rPr lang="en-US" baseline="0"/>
              <a:t> ratios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'FMDA APRIL 2023 Q22'!$D$86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'FMDA APRIL 2023 Q22'!$E$85:$I$85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'FMDA APRIL 2023 Q22'!$E$86:$I$86</c:f>
              <c:numCache>
                <c:formatCode>_(* #,##0_);_(* \(#,##0\);_(* "-"??_);_(@_)</c:formatCode>
                <c:ptCount val="5"/>
                <c:pt idx="0">
                  <c:v>8.696963095450835</c:v>
                </c:pt>
                <c:pt idx="1">
                  <c:v>15.600716667792966</c:v>
                </c:pt>
                <c:pt idx="2">
                  <c:v>21.887441849899972</c:v>
                </c:pt>
                <c:pt idx="3">
                  <c:v>27.684017458597545</c:v>
                </c:pt>
                <c:pt idx="4">
                  <c:v>33.082094489463117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2-4E35-B10C-63C17EEFC35F}"/>
            </c:ext>
          </c:extLst>
        </c:ser>
        <c:ser>
          <c:idx val="2"/>
          <c:order val="1"/>
          <c:tx>
            <c:strRef>
              <c:f>'FMDA APRIL 2023 Q22'!$D$87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'FMDA APRIL 2023 Q22'!$E$85:$I$85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'FMDA APRIL 2023 Q22'!$E$87:$I$87</c:f>
              <c:numCache>
                <c:formatCode>_(* #,##0_);_(* \(#,##0\);_(* "-"??_);_(@_)</c:formatCode>
                <c:ptCount val="5"/>
                <c:pt idx="0">
                  <c:v>8.2302964287841682</c:v>
                </c:pt>
                <c:pt idx="1">
                  <c:v>15.134050001126298</c:v>
                </c:pt>
                <c:pt idx="2">
                  <c:v>21.420775183233307</c:v>
                </c:pt>
                <c:pt idx="3">
                  <c:v>27.217350791930876</c:v>
                </c:pt>
                <c:pt idx="4">
                  <c:v>32.615427822796455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2-4E35-B10C-63C17EEF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279823"/>
        <c:axId val="922275023"/>
      </c:lineChart>
      <c:catAx>
        <c:axId val="9222798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275023"/>
        <c:crosses val="autoZero"/>
        <c:auto val="1"/>
        <c:lblAlgn val="ctr"/>
        <c:lblOffset val="100"/>
        <c:noMultiLvlLbl val="0"/>
      </c:catAx>
      <c:valAx>
        <c:axId val="92227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279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97791</xdr:rowOff>
    </xdr:from>
    <xdr:to>
      <xdr:col>5</xdr:col>
      <xdr:colOff>180975</xdr:colOff>
      <xdr:row>44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4C5046-62DB-34FC-800F-7C7DE9D93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754" t="24892" r="23678" b="33214"/>
        <a:stretch/>
      </xdr:blipFill>
      <xdr:spPr>
        <a:xfrm>
          <a:off x="0" y="4669791"/>
          <a:ext cx="6457950" cy="3731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235443</xdr:colOff>
      <xdr:row>23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5140EC-9A15-296E-F317-D75CFB54C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005" t="19558" r="19052" b="26657"/>
        <a:stretch/>
      </xdr:blipFill>
      <xdr:spPr>
        <a:xfrm>
          <a:off x="0" y="0"/>
          <a:ext cx="6566887" cy="4524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76200</xdr:rowOff>
    </xdr:from>
    <xdr:to>
      <xdr:col>5</xdr:col>
      <xdr:colOff>0</xdr:colOff>
      <xdr:row>62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BDE873-7AEA-7F2B-A664-CDE63C0F9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130" t="20224" r="18739" b="37660"/>
        <a:stretch/>
      </xdr:blipFill>
      <xdr:spPr>
        <a:xfrm>
          <a:off x="0" y="8267700"/>
          <a:ext cx="6096000" cy="3609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</xdr:row>
      <xdr:rowOff>0</xdr:rowOff>
    </xdr:from>
    <xdr:to>
      <xdr:col>3</xdr:col>
      <xdr:colOff>9525</xdr:colOff>
      <xdr:row>28</xdr:row>
      <xdr:rowOff>9525</xdr:rowOff>
    </xdr:to>
    <xdr:pic>
      <xdr:nvPicPr>
        <xdr:cNvPr id="14" name="Picture 4302">
          <a:extLst>
            <a:ext uri="{FF2B5EF4-FFF2-40B4-BE49-F238E27FC236}">
              <a16:creationId xmlns:a16="http://schemas.microsoft.com/office/drawing/2014/main" id="{79A652D5-1B16-4B9B-9F62-929EB7BF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14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28575</xdr:colOff>
      <xdr:row>35</xdr:row>
      <xdr:rowOff>38100</xdr:rowOff>
    </xdr:to>
    <xdr:pic>
      <xdr:nvPicPr>
        <xdr:cNvPr id="15" name="Picture 6797">
          <a:extLst>
            <a:ext uri="{FF2B5EF4-FFF2-40B4-BE49-F238E27FC236}">
              <a16:creationId xmlns:a16="http://schemas.microsoft.com/office/drawing/2014/main" id="{A221DA3B-170B-4121-B8DC-203EAE45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28575</xdr:colOff>
      <xdr:row>35</xdr:row>
      <xdr:rowOff>38100</xdr:rowOff>
    </xdr:to>
    <xdr:pic>
      <xdr:nvPicPr>
        <xdr:cNvPr id="16" name="Picture 6798">
          <a:extLst>
            <a:ext uri="{FF2B5EF4-FFF2-40B4-BE49-F238E27FC236}">
              <a16:creationId xmlns:a16="http://schemas.microsoft.com/office/drawing/2014/main" id="{C6B95672-590D-4408-AE3A-BBEACCB0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19050</xdr:colOff>
      <xdr:row>35</xdr:row>
      <xdr:rowOff>38100</xdr:rowOff>
    </xdr:to>
    <xdr:pic>
      <xdr:nvPicPr>
        <xdr:cNvPr id="17" name="Picture 6800">
          <a:extLst>
            <a:ext uri="{FF2B5EF4-FFF2-40B4-BE49-F238E27FC236}">
              <a16:creationId xmlns:a16="http://schemas.microsoft.com/office/drawing/2014/main" id="{088C4E87-2CED-4CFC-B362-D219E3E8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858000"/>
          <a:ext cx="19050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28575</xdr:colOff>
      <xdr:row>35</xdr:row>
      <xdr:rowOff>38100</xdr:rowOff>
    </xdr:to>
    <xdr:pic>
      <xdr:nvPicPr>
        <xdr:cNvPr id="18" name="Picture 6799">
          <a:extLst>
            <a:ext uri="{FF2B5EF4-FFF2-40B4-BE49-F238E27FC236}">
              <a16:creationId xmlns:a16="http://schemas.microsoft.com/office/drawing/2014/main" id="{5D7953FC-C392-4A13-9F4A-41EC1504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858000"/>
          <a:ext cx="28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57151</xdr:rowOff>
    </xdr:from>
    <xdr:to>
      <xdr:col>6</xdr:col>
      <xdr:colOff>463817</xdr:colOff>
      <xdr:row>5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69D283-67A5-4BE6-9C1C-EBCDAB5F62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3" t="15365" r="22459" b="73376"/>
        <a:stretch/>
      </xdr:blipFill>
      <xdr:spPr bwMode="auto">
        <a:xfrm>
          <a:off x="0" y="247651"/>
          <a:ext cx="715036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6</xdr:col>
      <xdr:colOff>449331</xdr:colOff>
      <xdr:row>24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072AD1-5CB1-451F-953A-A6371C506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01" t="40098" r="36148" b="55567"/>
        <a:stretch/>
      </xdr:blipFill>
      <xdr:spPr bwMode="auto">
        <a:xfrm>
          <a:off x="0" y="4305300"/>
          <a:ext cx="7135881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6</xdr:col>
      <xdr:colOff>523875</xdr:colOff>
      <xdr:row>68</xdr:row>
      <xdr:rowOff>23623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DDD0CF-72A0-4CE1-B46C-C27C684FA7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75" t="42969" r="31698" b="28646"/>
        <a:stretch/>
      </xdr:blipFill>
      <xdr:spPr bwMode="auto">
        <a:xfrm>
          <a:off x="0" y="10734675"/>
          <a:ext cx="7210425" cy="2881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485774</xdr:colOff>
      <xdr:row>65</xdr:row>
      <xdr:rowOff>12700</xdr:rowOff>
    </xdr:from>
    <xdr:to>
      <xdr:col>19</xdr:col>
      <xdr:colOff>419099</xdr:colOff>
      <xdr:row>84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476DA-6429-F91F-5546-0EB19B9FF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84</xdr:row>
      <xdr:rowOff>184150</xdr:rowOff>
    </xdr:from>
    <xdr:to>
      <xdr:col>19</xdr:col>
      <xdr:colOff>374649</xdr:colOff>
      <xdr:row>102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64704A-6137-C9D9-120C-535D74A43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ontentitemfile_cm9zhu1wc5fks12dc09c2bvf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 21"/>
      <sheetName val="Question 22"/>
      <sheetName val="Question 23"/>
      <sheetName val="Question 24"/>
      <sheetName val="Question 25"/>
      <sheetName val="Question 25 - Data"/>
    </sheetNames>
    <sheetDataSet>
      <sheetData sheetId="0">
        <row r="19">
          <cell r="B19">
            <v>-210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CAAA-AB1E-45CA-8125-EBAEA42B7BA7}">
  <dimension ref="A1:E78"/>
  <sheetViews>
    <sheetView topLeftCell="A12" workbookViewId="0">
      <selection activeCell="I54" sqref="I54"/>
    </sheetView>
  </sheetViews>
  <sheetFormatPr defaultColWidth="9.1796875" defaultRowHeight="15.5"/>
  <cols>
    <col min="1" max="1" width="44.81640625" style="40" customWidth="1"/>
    <col min="2" max="2" width="14.54296875" style="40" bestFit="1" customWidth="1"/>
    <col min="3" max="3" width="47.08984375" style="40" customWidth="1"/>
    <col min="4" max="4" width="46.81640625" style="40" bestFit="1" customWidth="1"/>
    <col min="5" max="5" width="13.81640625" style="40" bestFit="1" customWidth="1"/>
    <col min="6" max="6" width="9.1796875" style="40"/>
    <col min="7" max="7" width="15.6328125" style="40" bestFit="1" customWidth="1"/>
    <col min="8" max="16384" width="9.1796875" style="40"/>
  </cols>
  <sheetData>
    <row r="1" spans="1:5">
      <c r="D1" s="40" t="s">
        <v>632</v>
      </c>
      <c r="E1" s="176">
        <f>B6*B10</f>
        <v>150000</v>
      </c>
    </row>
    <row r="2" spans="1:5">
      <c r="D2" s="40" t="s">
        <v>633</v>
      </c>
      <c r="E2" s="176">
        <f>B6*B11</f>
        <v>750000</v>
      </c>
    </row>
    <row r="3" spans="1:5">
      <c r="A3" s="40" t="s">
        <v>239</v>
      </c>
      <c r="D3" s="40" t="s">
        <v>634</v>
      </c>
    </row>
    <row r="4" spans="1:5">
      <c r="D4" s="40" t="s">
        <v>635</v>
      </c>
      <c r="E4" s="176">
        <f>B6-E2</f>
        <v>2250000</v>
      </c>
    </row>
    <row r="5" spans="1:5">
      <c r="B5" s="40" t="s">
        <v>240</v>
      </c>
      <c r="D5" s="40" t="s">
        <v>636</v>
      </c>
      <c r="E5" s="177">
        <v>0.25</v>
      </c>
    </row>
    <row r="6" spans="1:5">
      <c r="A6" s="40" t="s">
        <v>241</v>
      </c>
      <c r="B6" s="50">
        <v>3000000</v>
      </c>
      <c r="D6" s="40" t="s">
        <v>637</v>
      </c>
      <c r="E6" s="177">
        <v>0.33333333333333331</v>
      </c>
    </row>
    <row r="7" spans="1:5">
      <c r="A7" s="40" t="s">
        <v>242</v>
      </c>
      <c r="B7" s="50">
        <v>1500000</v>
      </c>
      <c r="D7" s="40" t="s">
        <v>638</v>
      </c>
      <c r="E7" s="176">
        <f>E2/E6</f>
        <v>2250000</v>
      </c>
    </row>
    <row r="8" spans="1:5">
      <c r="A8" s="40" t="s">
        <v>243</v>
      </c>
      <c r="B8" s="40">
        <v>0.6</v>
      </c>
      <c r="C8" s="175" t="s">
        <v>621</v>
      </c>
      <c r="D8" s="40" t="s">
        <v>639</v>
      </c>
      <c r="E8" s="176">
        <f>E7/B12</f>
        <v>1800000</v>
      </c>
    </row>
    <row r="9" spans="1:5">
      <c r="A9" s="40" t="s">
        <v>244</v>
      </c>
      <c r="B9" s="40">
        <v>2</v>
      </c>
      <c r="C9" s="175" t="s">
        <v>629</v>
      </c>
      <c r="D9" s="40" t="s">
        <v>34</v>
      </c>
      <c r="E9" s="176">
        <f>E1/B13</f>
        <v>7500000</v>
      </c>
    </row>
    <row r="10" spans="1:5">
      <c r="A10" s="40" t="s">
        <v>54</v>
      </c>
      <c r="B10" s="51">
        <v>0.05</v>
      </c>
      <c r="C10" s="175" t="s">
        <v>622</v>
      </c>
      <c r="D10" s="40" t="s">
        <v>640</v>
      </c>
      <c r="E10" s="178">
        <f>B6/B14</f>
        <v>3750000</v>
      </c>
    </row>
    <row r="11" spans="1:5">
      <c r="A11" s="40" t="s">
        <v>55</v>
      </c>
      <c r="B11" s="51">
        <v>0.25</v>
      </c>
      <c r="C11" s="175" t="s">
        <v>623</v>
      </c>
      <c r="D11" s="40" t="s">
        <v>645</v>
      </c>
      <c r="E11" s="176">
        <f>B6/B9</f>
        <v>1500000</v>
      </c>
    </row>
    <row r="12" spans="1:5">
      <c r="A12" s="40" t="s">
        <v>245</v>
      </c>
      <c r="B12" s="40">
        <v>1.25</v>
      </c>
      <c r="C12" s="175" t="s">
        <v>624</v>
      </c>
    </row>
    <row r="13" spans="1:5">
      <c r="A13" s="40" t="s">
        <v>246</v>
      </c>
      <c r="B13" s="51">
        <v>0.02</v>
      </c>
      <c r="C13" s="175" t="s">
        <v>625</v>
      </c>
      <c r="D13" s="176" t="s">
        <v>441</v>
      </c>
      <c r="E13" s="176">
        <f>B8*E9</f>
        <v>4500000</v>
      </c>
    </row>
    <row r="14" spans="1:5">
      <c r="A14" s="40" t="s">
        <v>247</v>
      </c>
      <c r="B14" s="52">
        <v>0.8</v>
      </c>
      <c r="C14" s="175" t="s">
        <v>626</v>
      </c>
      <c r="D14" s="40" t="s">
        <v>651</v>
      </c>
      <c r="E14" s="176">
        <f>E13-B7</f>
        <v>3000000</v>
      </c>
    </row>
    <row r="15" spans="1:5">
      <c r="A15" s="40" t="s">
        <v>248</v>
      </c>
      <c r="B15" s="51">
        <v>0.5</v>
      </c>
    </row>
    <row r="16" spans="1:5">
      <c r="A16" s="40" t="s">
        <v>627</v>
      </c>
      <c r="B16" s="51"/>
      <c r="C16" s="175" t="s">
        <v>630</v>
      </c>
      <c r="D16" s="40" t="s">
        <v>654</v>
      </c>
      <c r="E16" s="185">
        <v>300000</v>
      </c>
    </row>
    <row r="17" spans="1:5">
      <c r="A17" s="40" t="s">
        <v>628</v>
      </c>
      <c r="B17" s="51"/>
      <c r="C17" s="175" t="s">
        <v>631</v>
      </c>
      <c r="D17" s="40" t="s">
        <v>655</v>
      </c>
      <c r="E17" s="40">
        <f>50%*E16</f>
        <v>150000</v>
      </c>
    </row>
    <row r="18" spans="1:5">
      <c r="B18" s="51"/>
      <c r="D18" s="40" t="s">
        <v>656</v>
      </c>
      <c r="E18" s="40">
        <f>E16-E17</f>
        <v>150000</v>
      </c>
    </row>
    <row r="19" spans="1:5">
      <c r="B19" s="51"/>
    </row>
    <row r="20" spans="1:5">
      <c r="E20" s="40">
        <v>150000</v>
      </c>
    </row>
    <row r="21" spans="1:5">
      <c r="A21" s="42" t="s">
        <v>47</v>
      </c>
    </row>
    <row r="22" spans="1:5">
      <c r="A22" s="42" t="s">
        <v>249</v>
      </c>
    </row>
    <row r="23" spans="1:5">
      <c r="A23" s="40" t="s">
        <v>250</v>
      </c>
      <c r="B23" s="40" t="s">
        <v>251</v>
      </c>
    </row>
    <row r="24" spans="1:5">
      <c r="A24" s="40" t="s">
        <v>252</v>
      </c>
      <c r="B24" s="40" t="s">
        <v>253</v>
      </c>
      <c r="D24" s="42" t="s">
        <v>649</v>
      </c>
    </row>
    <row r="25" spans="1:5">
      <c r="A25" s="40" t="s">
        <v>254</v>
      </c>
      <c r="B25" s="40" t="s">
        <v>253</v>
      </c>
      <c r="D25" s="42" t="s">
        <v>652</v>
      </c>
    </row>
    <row r="26" spans="1:5">
      <c r="A26" s="40" t="s">
        <v>255</v>
      </c>
      <c r="B26" s="40" t="s">
        <v>253</v>
      </c>
      <c r="D26" s="42" t="s">
        <v>653</v>
      </c>
    </row>
    <row r="27" spans="1:5">
      <c r="A27" s="40" t="s">
        <v>256</v>
      </c>
      <c r="B27" s="40" t="s">
        <v>253</v>
      </c>
    </row>
    <row r="28" spans="1:5">
      <c r="A28" s="40" t="s">
        <v>257</v>
      </c>
      <c r="B28" s="40" t="s">
        <v>253</v>
      </c>
      <c r="D28" s="40" t="s">
        <v>20</v>
      </c>
      <c r="E28" s="176">
        <f>B6</f>
        <v>3000000</v>
      </c>
    </row>
    <row r="29" spans="1:5">
      <c r="A29" s="40" t="s">
        <v>258</v>
      </c>
      <c r="B29" s="40" t="s">
        <v>253</v>
      </c>
      <c r="D29" s="40" t="s">
        <v>21</v>
      </c>
      <c r="E29" s="176">
        <f>E4</f>
        <v>2250000</v>
      </c>
    </row>
    <row r="30" spans="1:5">
      <c r="D30" s="42" t="s">
        <v>22</v>
      </c>
      <c r="E30" s="186">
        <f>E28-E29</f>
        <v>750000</v>
      </c>
    </row>
    <row r="31" spans="1:5">
      <c r="A31" s="40" t="s">
        <v>259</v>
      </c>
      <c r="D31" s="40" t="s">
        <v>23</v>
      </c>
      <c r="E31" s="40">
        <v>450000</v>
      </c>
    </row>
    <row r="32" spans="1:5">
      <c r="A32" s="40" t="s">
        <v>260</v>
      </c>
      <c r="D32" s="42" t="s">
        <v>654</v>
      </c>
      <c r="E32" s="42">
        <v>300000</v>
      </c>
    </row>
    <row r="33" spans="4:5">
      <c r="D33" s="40" t="s">
        <v>655</v>
      </c>
      <c r="E33" s="40">
        <f>50%*E32</f>
        <v>150000</v>
      </c>
    </row>
    <row r="34" spans="4:5">
      <c r="D34" s="42" t="s">
        <v>656</v>
      </c>
      <c r="E34" s="186">
        <f>E32-E33</f>
        <v>150000</v>
      </c>
    </row>
    <row r="35" spans="4:5">
      <c r="D35" s="40" t="s">
        <v>262</v>
      </c>
      <c r="E35" s="40">
        <v>0</v>
      </c>
    </row>
    <row r="36" spans="4:5">
      <c r="D36" s="42" t="s">
        <v>263</v>
      </c>
      <c r="E36" s="186">
        <f>SUM(E34:E35)</f>
        <v>150000</v>
      </c>
    </row>
    <row r="46" spans="4:5">
      <c r="D46" s="42" t="s">
        <v>649</v>
      </c>
      <c r="E46" s="178"/>
    </row>
    <row r="47" spans="4:5">
      <c r="D47" s="42" t="s">
        <v>647</v>
      </c>
    </row>
    <row r="48" spans="4:5">
      <c r="D48" s="42" t="s">
        <v>648</v>
      </c>
    </row>
    <row r="50" spans="4:5">
      <c r="D50" s="40" t="s">
        <v>641</v>
      </c>
    </row>
    <row r="51" spans="4:5">
      <c r="D51" s="40" t="s">
        <v>642</v>
      </c>
      <c r="E51" s="178">
        <f>E10</f>
        <v>3750000</v>
      </c>
    </row>
    <row r="53" spans="4:5">
      <c r="D53" s="40" t="s">
        <v>643</v>
      </c>
    </row>
    <row r="54" spans="4:5">
      <c r="D54" s="40" t="s">
        <v>32</v>
      </c>
      <c r="E54" s="176">
        <f>E8</f>
        <v>1800000</v>
      </c>
    </row>
    <row r="55" spans="4:5">
      <c r="D55" s="40" t="s">
        <v>644</v>
      </c>
      <c r="E55" s="176">
        <f>E11</f>
        <v>1500000</v>
      </c>
    </row>
    <row r="56" spans="4:5">
      <c r="D56" s="40" t="s">
        <v>646</v>
      </c>
      <c r="E56" s="176">
        <v>450000</v>
      </c>
    </row>
    <row r="57" spans="4:5">
      <c r="E57" s="178"/>
    </row>
    <row r="58" spans="4:5">
      <c r="D58" s="42" t="s">
        <v>650</v>
      </c>
      <c r="E58" s="184">
        <f>SUM(E51:E57)</f>
        <v>7500000</v>
      </c>
    </row>
    <row r="60" spans="4:5">
      <c r="D60" s="42" t="s">
        <v>657</v>
      </c>
    </row>
    <row r="61" spans="4:5">
      <c r="D61" s="40" t="s">
        <v>658</v>
      </c>
    </row>
    <row r="62" spans="4:5">
      <c r="D62" s="40" t="s">
        <v>264</v>
      </c>
      <c r="E62" s="40">
        <v>2850000</v>
      </c>
    </row>
    <row r="64" spans="4:5">
      <c r="D64" s="40" t="s">
        <v>659</v>
      </c>
    </row>
    <row r="65" spans="4:5">
      <c r="D65" s="40" t="s">
        <v>38</v>
      </c>
      <c r="E65" s="176">
        <f>E36</f>
        <v>150000</v>
      </c>
    </row>
    <row r="67" spans="4:5">
      <c r="D67" s="181" t="s">
        <v>660</v>
      </c>
      <c r="E67" s="181">
        <f>SUM(E62:E66)</f>
        <v>3000000</v>
      </c>
    </row>
    <row r="69" spans="4:5">
      <c r="D69" s="40" t="s">
        <v>661</v>
      </c>
    </row>
    <row r="70" spans="4:5">
      <c r="D70" s="40" t="s">
        <v>662</v>
      </c>
      <c r="E70" s="40">
        <v>3000000</v>
      </c>
    </row>
    <row r="72" spans="4:5">
      <c r="D72" s="40" t="s">
        <v>663</v>
      </c>
    </row>
    <row r="73" spans="4:5">
      <c r="D73" s="40" t="s">
        <v>242</v>
      </c>
      <c r="E73" s="176">
        <f>B7</f>
        <v>1500000</v>
      </c>
    </row>
    <row r="75" spans="4:5">
      <c r="D75" s="42" t="s">
        <v>664</v>
      </c>
      <c r="E75" s="181">
        <f>SUM(E70:E74)</f>
        <v>4500000</v>
      </c>
    </row>
    <row r="76" spans="4:5">
      <c r="D76" s="42" t="s">
        <v>665</v>
      </c>
      <c r="E76" s="186">
        <f>SUM(E75,E67)</f>
        <v>7500000</v>
      </c>
    </row>
    <row r="78" spans="4:5">
      <c r="D78" s="40" t="s">
        <v>666</v>
      </c>
      <c r="E78" s="178">
        <f>E58-E76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1749-FECF-4EFD-BD30-FEC28BC4A909}">
  <sheetPr>
    <pageSetUpPr fitToPage="1"/>
  </sheetPr>
  <dimension ref="A1:M133"/>
  <sheetViews>
    <sheetView topLeftCell="E85" zoomScaleNormal="100" workbookViewId="0">
      <selection activeCell="J101" sqref="J101"/>
    </sheetView>
  </sheetViews>
  <sheetFormatPr defaultColWidth="9.1796875" defaultRowHeight="15.5"/>
  <cols>
    <col min="1" max="1" width="88.54296875" style="40" bestFit="1" customWidth="1"/>
    <col min="2" max="3" width="12.1796875" style="40" bestFit="1" customWidth="1"/>
    <col min="4" max="4" width="54.6328125" style="40" customWidth="1"/>
    <col min="5" max="5" width="29.6328125" style="50" customWidth="1"/>
    <col min="6" max="6" width="15.90625" style="50" customWidth="1"/>
    <col min="7" max="9" width="13.81640625" style="50" bestFit="1" customWidth="1"/>
    <col min="10" max="13" width="9.1796875" style="50"/>
    <col min="14" max="16384" width="9.1796875" style="40"/>
  </cols>
  <sheetData>
    <row r="1" spans="1:13">
      <c r="A1" s="46" t="s">
        <v>206</v>
      </c>
      <c r="E1" s="183">
        <v>2024</v>
      </c>
      <c r="F1" s="183">
        <v>2025</v>
      </c>
      <c r="G1" s="183">
        <v>2026</v>
      </c>
      <c r="H1" s="183">
        <v>2027</v>
      </c>
      <c r="I1" s="183">
        <v>2028</v>
      </c>
    </row>
    <row r="2" spans="1:13">
      <c r="A2" s="47"/>
      <c r="D2" s="40" t="s">
        <v>668</v>
      </c>
      <c r="E2" s="50">
        <v>1000000</v>
      </c>
      <c r="F2" s="50">
        <v>1000000</v>
      </c>
      <c r="G2" s="50">
        <v>1000000</v>
      </c>
      <c r="H2" s="50">
        <v>1000000</v>
      </c>
      <c r="I2" s="50">
        <v>1000000</v>
      </c>
    </row>
    <row r="3" spans="1:13">
      <c r="A3" s="46" t="s">
        <v>207</v>
      </c>
      <c r="D3" s="40" t="s">
        <v>669</v>
      </c>
      <c r="E3" s="187">
        <v>18.5</v>
      </c>
      <c r="F3" s="187">
        <f>105%*E3</f>
        <v>19.425000000000001</v>
      </c>
      <c r="G3" s="187">
        <f t="shared" ref="G3:I3" si="0">105%*F3</f>
        <v>20.396250000000002</v>
      </c>
      <c r="H3" s="187">
        <f t="shared" si="0"/>
        <v>21.416062500000002</v>
      </c>
      <c r="I3" s="187">
        <f t="shared" si="0"/>
        <v>22.486865625000004</v>
      </c>
    </row>
    <row r="4" spans="1:13">
      <c r="A4" s="46"/>
      <c r="E4" s="187"/>
      <c r="F4" s="187"/>
      <c r="G4" s="187"/>
      <c r="H4" s="187"/>
      <c r="I4" s="187"/>
    </row>
    <row r="5" spans="1:13">
      <c r="A5" s="46"/>
      <c r="E5" s="187"/>
      <c r="F5" s="187"/>
      <c r="G5" s="187"/>
      <c r="H5" s="187"/>
      <c r="I5" s="187"/>
    </row>
    <row r="6" spans="1:13">
      <c r="A6" s="46"/>
      <c r="D6" s="42" t="s">
        <v>652</v>
      </c>
      <c r="E6" s="187"/>
      <c r="F6" s="187"/>
      <c r="G6" s="187"/>
      <c r="H6" s="187"/>
      <c r="I6" s="187"/>
    </row>
    <row r="7" spans="1:13">
      <c r="A7" s="47" t="s">
        <v>208</v>
      </c>
      <c r="B7" s="46"/>
      <c r="C7" s="46"/>
      <c r="E7" s="180"/>
      <c r="F7" s="180"/>
      <c r="G7" s="180"/>
      <c r="H7" s="180"/>
      <c r="I7" s="180"/>
    </row>
    <row r="8" spans="1:13">
      <c r="A8" s="47" t="s">
        <v>209</v>
      </c>
      <c r="B8" s="46"/>
      <c r="C8" s="46"/>
      <c r="E8" s="183">
        <v>2024</v>
      </c>
      <c r="F8" s="183">
        <v>2025</v>
      </c>
      <c r="G8" s="183">
        <v>2026</v>
      </c>
      <c r="H8" s="183">
        <v>2027</v>
      </c>
      <c r="I8" s="183">
        <v>2028</v>
      </c>
    </row>
    <row r="9" spans="1:13">
      <c r="A9" s="47" t="s">
        <v>210</v>
      </c>
      <c r="B9" s="48"/>
      <c r="C9" s="48"/>
      <c r="D9" s="40" t="s">
        <v>20</v>
      </c>
      <c r="E9" s="50">
        <f>E2*E3</f>
        <v>18500000</v>
      </c>
      <c r="F9" s="50">
        <f>F2*F3</f>
        <v>19425000</v>
      </c>
      <c r="G9" s="50">
        <f>G2*G3</f>
        <v>20396250.000000004</v>
      </c>
      <c r="H9" s="50">
        <f>H2*H3</f>
        <v>21416062.500000004</v>
      </c>
      <c r="I9" s="50">
        <f>I2*I3</f>
        <v>22486865.625000004</v>
      </c>
    </row>
    <row r="10" spans="1:13">
      <c r="A10" s="47"/>
      <c r="B10" s="48"/>
      <c r="C10" s="48"/>
      <c r="D10" s="40" t="s">
        <v>21</v>
      </c>
      <c r="E10" s="50">
        <f>42%*E9</f>
        <v>7770000</v>
      </c>
      <c r="F10" s="50">
        <f t="shared" ref="F10:I10" si="1">42%*F9</f>
        <v>8158500</v>
      </c>
      <c r="G10" s="50">
        <f t="shared" si="1"/>
        <v>8566425.0000000019</v>
      </c>
      <c r="H10" s="50">
        <f t="shared" si="1"/>
        <v>8994746.2500000019</v>
      </c>
      <c r="I10" s="50">
        <f t="shared" si="1"/>
        <v>9444483.5625000019</v>
      </c>
    </row>
    <row r="11" spans="1:13" s="42" customFormat="1" ht="15">
      <c r="A11" s="46" t="s">
        <v>211</v>
      </c>
      <c r="D11" s="42" t="s">
        <v>22</v>
      </c>
      <c r="E11" s="181">
        <f>E9-E10</f>
        <v>10730000</v>
      </c>
      <c r="F11" s="181">
        <f t="shared" ref="F11:I11" si="2">F9-F10</f>
        <v>11266500</v>
      </c>
      <c r="G11" s="181">
        <f t="shared" si="2"/>
        <v>11829825.000000002</v>
      </c>
      <c r="H11" s="181">
        <f t="shared" si="2"/>
        <v>12421316.250000002</v>
      </c>
      <c r="I11" s="181">
        <f t="shared" si="2"/>
        <v>13042382.062500002</v>
      </c>
      <c r="J11" s="181"/>
      <c r="K11" s="181"/>
      <c r="L11" s="181"/>
      <c r="M11" s="181"/>
    </row>
    <row r="12" spans="1:13">
      <c r="A12" s="47" t="s">
        <v>212</v>
      </c>
      <c r="B12" s="48"/>
      <c r="C12" s="48"/>
      <c r="D12" s="40" t="s">
        <v>670</v>
      </c>
      <c r="E12" s="50">
        <f>17%*E9</f>
        <v>3145000</v>
      </c>
      <c r="F12" s="50">
        <f t="shared" ref="F12:I12" si="3">17%*F9</f>
        <v>3302250.0000000005</v>
      </c>
      <c r="G12" s="50">
        <f t="shared" si="3"/>
        <v>3467362.5000000009</v>
      </c>
      <c r="H12" s="50">
        <f t="shared" si="3"/>
        <v>3640730.6250000009</v>
      </c>
      <c r="I12" s="50">
        <f t="shared" si="3"/>
        <v>3822767.1562500009</v>
      </c>
    </row>
    <row r="13" spans="1:13">
      <c r="A13" s="47" t="s">
        <v>213</v>
      </c>
      <c r="B13" s="49"/>
      <c r="C13" s="49"/>
      <c r="D13" s="40" t="s">
        <v>671</v>
      </c>
      <c r="E13" s="50">
        <v>500000</v>
      </c>
      <c r="F13" s="50">
        <v>500000</v>
      </c>
      <c r="G13" s="50">
        <v>500000</v>
      </c>
      <c r="H13" s="50">
        <v>500000</v>
      </c>
      <c r="I13" s="50">
        <v>500000</v>
      </c>
    </row>
    <row r="14" spans="1:13">
      <c r="A14" s="47" t="s">
        <v>214</v>
      </c>
      <c r="B14" s="48"/>
      <c r="C14" s="48"/>
      <c r="D14" s="42" t="s">
        <v>348</v>
      </c>
      <c r="E14" s="181">
        <f>E11-E12-E13</f>
        <v>7085000</v>
      </c>
      <c r="F14" s="181">
        <f t="shared" ref="F14:I14" si="4">F11-F12-F13</f>
        <v>7464250</v>
      </c>
      <c r="G14" s="181">
        <f t="shared" si="4"/>
        <v>7862462.5000000009</v>
      </c>
      <c r="H14" s="181">
        <f t="shared" si="4"/>
        <v>8280585.625</v>
      </c>
      <c r="I14" s="181">
        <f t="shared" si="4"/>
        <v>8719614.90625</v>
      </c>
    </row>
    <row r="15" spans="1:13">
      <c r="A15" s="47" t="s">
        <v>215</v>
      </c>
      <c r="B15" s="49"/>
      <c r="C15" s="49"/>
      <c r="D15" s="40" t="s">
        <v>672</v>
      </c>
      <c r="E15" s="50">
        <f>E45</f>
        <v>3750000</v>
      </c>
      <c r="F15" s="50">
        <f t="shared" ref="F15:I15" si="5">F45</f>
        <v>2812500</v>
      </c>
      <c r="G15" s="50">
        <f t="shared" si="5"/>
        <v>2109375</v>
      </c>
      <c r="H15" s="50">
        <f t="shared" si="5"/>
        <v>1582031.25</v>
      </c>
      <c r="I15" s="50">
        <f t="shared" si="5"/>
        <v>1186523.4375</v>
      </c>
    </row>
    <row r="16" spans="1:13">
      <c r="A16" s="47" t="s">
        <v>216</v>
      </c>
      <c r="B16" s="48"/>
      <c r="C16" s="48"/>
      <c r="D16" s="42" t="s">
        <v>0</v>
      </c>
      <c r="E16" s="181">
        <f>E14-E15</f>
        <v>3335000</v>
      </c>
      <c r="F16" s="181">
        <f t="shared" ref="F16:I16" si="6">F14-F15</f>
        <v>4651750</v>
      </c>
      <c r="G16" s="181">
        <f t="shared" si="6"/>
        <v>5753087.5000000009</v>
      </c>
      <c r="H16" s="181">
        <f t="shared" si="6"/>
        <v>6698554.375</v>
      </c>
      <c r="I16" s="181">
        <f t="shared" si="6"/>
        <v>7533091.46875</v>
      </c>
    </row>
    <row r="17" spans="1:9">
      <c r="A17" s="47" t="s">
        <v>217</v>
      </c>
      <c r="B17" s="49"/>
      <c r="C17" s="49"/>
      <c r="D17" s="40" t="s">
        <v>25</v>
      </c>
      <c r="E17" s="50">
        <f>E35</f>
        <v>500000</v>
      </c>
      <c r="F17" s="50">
        <f t="shared" ref="F17:I17" si="7">F35</f>
        <v>418101.25960262731</v>
      </c>
      <c r="G17" s="50">
        <f t="shared" si="7"/>
        <v>328012.64516551734</v>
      </c>
      <c r="H17" s="50">
        <f t="shared" si="7"/>
        <v>228915.16928469637</v>
      </c>
      <c r="I17" s="50">
        <f t="shared" si="7"/>
        <v>119907.94581579331</v>
      </c>
    </row>
    <row r="18" spans="1:9">
      <c r="A18" s="47" t="s">
        <v>218</v>
      </c>
      <c r="B18" s="48"/>
      <c r="C18" s="48"/>
      <c r="D18" s="42" t="s">
        <v>350</v>
      </c>
      <c r="E18" s="181">
        <f>E16-E17</f>
        <v>2835000</v>
      </c>
      <c r="F18" s="181">
        <f t="shared" ref="F18:I18" si="8">F16-F17</f>
        <v>4233648.7403973723</v>
      </c>
      <c r="G18" s="181">
        <f t="shared" si="8"/>
        <v>5425074.8548344839</v>
      </c>
      <c r="H18" s="181">
        <f t="shared" si="8"/>
        <v>6469639.2057153033</v>
      </c>
      <c r="I18" s="181">
        <f t="shared" si="8"/>
        <v>7413183.5229342068</v>
      </c>
    </row>
    <row r="19" spans="1:9">
      <c r="A19" s="47" t="s">
        <v>219</v>
      </c>
      <c r="D19" s="40" t="s">
        <v>655</v>
      </c>
      <c r="E19" s="50">
        <f>30%*E18</f>
        <v>850500</v>
      </c>
      <c r="F19" s="50">
        <f t="shared" ref="F19:I19" si="9">30%*F18</f>
        <v>1270094.6221192116</v>
      </c>
      <c r="G19" s="50">
        <f t="shared" si="9"/>
        <v>1627522.4564503452</v>
      </c>
      <c r="H19" s="50">
        <f t="shared" si="9"/>
        <v>1940891.7617145909</v>
      </c>
      <c r="I19" s="50">
        <f t="shared" si="9"/>
        <v>2223955.0568802617</v>
      </c>
    </row>
    <row r="20" spans="1:9">
      <c r="A20" s="47" t="s">
        <v>220</v>
      </c>
      <c r="B20" s="46"/>
      <c r="C20" s="46"/>
      <c r="D20" s="42" t="s">
        <v>378</v>
      </c>
      <c r="E20" s="181">
        <f>E18-E19</f>
        <v>1984500</v>
      </c>
      <c r="F20" s="181">
        <f t="shared" ref="F20:I20" si="10">F18-F19</f>
        <v>2963554.1182781607</v>
      </c>
      <c r="G20" s="181">
        <f t="shared" si="10"/>
        <v>3797552.3983841389</v>
      </c>
      <c r="H20" s="181">
        <f t="shared" si="10"/>
        <v>4528747.4440007126</v>
      </c>
      <c r="I20" s="181">
        <f t="shared" si="10"/>
        <v>5189228.466053945</v>
      </c>
    </row>
    <row r="21" spans="1:9">
      <c r="A21" s="190" t="s">
        <v>221</v>
      </c>
      <c r="B21" s="46"/>
      <c r="C21" s="46"/>
      <c r="D21" s="40" t="s">
        <v>262</v>
      </c>
      <c r="E21" s="50">
        <v>0</v>
      </c>
      <c r="F21" s="50">
        <f>E22</f>
        <v>1984500</v>
      </c>
      <c r="G21" s="50">
        <f>F22</f>
        <v>4948054.1182781607</v>
      </c>
      <c r="H21" s="50">
        <f>G22</f>
        <v>8745606.5166622996</v>
      </c>
      <c r="I21" s="50">
        <f>H22</f>
        <v>13274353.960663013</v>
      </c>
    </row>
    <row r="22" spans="1:9" ht="16" thickBot="1">
      <c r="A22" s="190" t="s">
        <v>222</v>
      </c>
      <c r="D22" s="195" t="s">
        <v>263</v>
      </c>
      <c r="E22" s="200">
        <f>E20+E21</f>
        <v>1984500</v>
      </c>
      <c r="F22" s="200">
        <f>F20+F21</f>
        <v>4948054.1182781607</v>
      </c>
      <c r="G22" s="200">
        <f>G20+G21</f>
        <v>8745606.5166622996</v>
      </c>
      <c r="H22" s="200">
        <f>H20+H21</f>
        <v>13274353.960663013</v>
      </c>
      <c r="I22" s="200">
        <f>I20+I21</f>
        <v>18463582.426716957</v>
      </c>
    </row>
    <row r="23" spans="1:9" ht="16" thickTop="1">
      <c r="A23" s="190" t="s">
        <v>223</v>
      </c>
    </row>
    <row r="24" spans="1:9">
      <c r="A24" s="47" t="s">
        <v>224</v>
      </c>
      <c r="B24" s="49"/>
      <c r="C24" s="49"/>
    </row>
    <row r="25" spans="1:9">
      <c r="A25" s="47" t="s">
        <v>225</v>
      </c>
      <c r="B25" s="49"/>
      <c r="C25" s="49"/>
    </row>
    <row r="26" spans="1:9">
      <c r="A26" s="46" t="s">
        <v>226</v>
      </c>
      <c r="B26" s="48"/>
      <c r="C26" s="48"/>
      <c r="E26" s="50" t="s">
        <v>673</v>
      </c>
      <c r="F26" s="50">
        <v>5000000</v>
      </c>
      <c r="H26" s="50" t="s">
        <v>683</v>
      </c>
    </row>
    <row r="27" spans="1:9">
      <c r="A27" s="47" t="s">
        <v>227</v>
      </c>
      <c r="E27" s="50" t="s">
        <v>674</v>
      </c>
      <c r="F27" s="182">
        <v>0.1</v>
      </c>
      <c r="H27" s="50" t="s">
        <v>684</v>
      </c>
    </row>
    <row r="28" spans="1:9">
      <c r="A28" s="47" t="s">
        <v>228</v>
      </c>
      <c r="B28" s="49"/>
      <c r="C28" s="49"/>
      <c r="E28" s="50" t="s">
        <v>675</v>
      </c>
      <c r="F28" s="50">
        <v>5</v>
      </c>
    </row>
    <row r="29" spans="1:9">
      <c r="A29" s="47"/>
      <c r="B29" s="49"/>
      <c r="C29" s="49"/>
      <c r="E29" s="50" t="s">
        <v>676</v>
      </c>
      <c r="F29" s="50" t="s">
        <v>677</v>
      </c>
      <c r="H29" s="183"/>
      <c r="I29" s="183"/>
    </row>
    <row r="30" spans="1:9">
      <c r="A30" s="47" t="s">
        <v>229</v>
      </c>
      <c r="B30" s="49"/>
      <c r="C30" s="47" t="s">
        <v>230</v>
      </c>
      <c r="E30" s="50" t="s">
        <v>678</v>
      </c>
      <c r="F30" s="50">
        <f>-PMT(F27,F28,F26,0,0)</f>
        <v>1318987.403973727</v>
      </c>
    </row>
    <row r="31" spans="1:9">
      <c r="A31" s="47" t="s">
        <v>231</v>
      </c>
      <c r="B31" s="48"/>
      <c r="C31" s="47" t="s">
        <v>232</v>
      </c>
    </row>
    <row r="32" spans="1:9">
      <c r="A32" s="47" t="s">
        <v>233</v>
      </c>
      <c r="C32" s="47" t="s">
        <v>232</v>
      </c>
      <c r="E32" s="183">
        <v>2024</v>
      </c>
      <c r="F32" s="183">
        <v>2025</v>
      </c>
      <c r="G32" s="183">
        <v>2026</v>
      </c>
      <c r="H32" s="183">
        <v>2027</v>
      </c>
      <c r="I32" s="183">
        <v>2028</v>
      </c>
    </row>
    <row r="33" spans="1:9">
      <c r="A33" s="47"/>
      <c r="C33" s="47"/>
      <c r="D33" s="40" t="s">
        <v>679</v>
      </c>
      <c r="E33" s="50">
        <f>F26</f>
        <v>5000000</v>
      </c>
      <c r="F33" s="50">
        <f>E37</f>
        <v>4181012.596026273</v>
      </c>
      <c r="G33" s="50">
        <f>F37</f>
        <v>3280126.4516551732</v>
      </c>
      <c r="H33" s="50">
        <f>G37</f>
        <v>2289151.6928469636</v>
      </c>
      <c r="I33" s="50">
        <f>H37</f>
        <v>1199079.4581579331</v>
      </c>
    </row>
    <row r="34" spans="1:9">
      <c r="A34" s="47" t="s">
        <v>234</v>
      </c>
      <c r="B34" s="49"/>
      <c r="C34" s="49"/>
      <c r="D34" s="40" t="s">
        <v>680</v>
      </c>
      <c r="E34" s="50">
        <f>$F$30</f>
        <v>1318987.403973727</v>
      </c>
      <c r="F34" s="50">
        <f t="shared" ref="F34:I34" si="11">$F$30</f>
        <v>1318987.403973727</v>
      </c>
      <c r="G34" s="50">
        <f t="shared" si="11"/>
        <v>1318987.403973727</v>
      </c>
      <c r="H34" s="50">
        <f t="shared" si="11"/>
        <v>1318987.403973727</v>
      </c>
      <c r="I34" s="50">
        <f t="shared" si="11"/>
        <v>1318987.403973727</v>
      </c>
    </row>
    <row r="35" spans="1:9">
      <c r="A35" s="47"/>
      <c r="B35" s="49"/>
      <c r="C35" s="49"/>
      <c r="D35" s="40" t="s">
        <v>59</v>
      </c>
      <c r="E35" s="50">
        <f>$F$27*E33</f>
        <v>500000</v>
      </c>
      <c r="F35" s="50">
        <f t="shared" ref="F35:I35" si="12">$F$27*F33</f>
        <v>418101.25960262731</v>
      </c>
      <c r="G35" s="50">
        <f t="shared" si="12"/>
        <v>328012.64516551734</v>
      </c>
      <c r="H35" s="50">
        <f t="shared" si="12"/>
        <v>228915.16928469637</v>
      </c>
      <c r="I35" s="50">
        <f t="shared" si="12"/>
        <v>119907.94581579331</v>
      </c>
    </row>
    <row r="36" spans="1:9">
      <c r="A36" s="47" t="s">
        <v>235</v>
      </c>
      <c r="B36" s="49"/>
      <c r="C36" s="47" t="s">
        <v>236</v>
      </c>
      <c r="D36" s="40" t="s">
        <v>681</v>
      </c>
      <c r="E36" s="50">
        <f>E34-E35</f>
        <v>818987.40397372702</v>
      </c>
      <c r="F36" s="50">
        <f t="shared" ref="F36:I36" si="13">F34-F35</f>
        <v>900886.14437109977</v>
      </c>
      <c r="G36" s="50">
        <f t="shared" si="13"/>
        <v>990974.75880820968</v>
      </c>
      <c r="H36" s="50">
        <f t="shared" si="13"/>
        <v>1090072.2346890306</v>
      </c>
      <c r="I36" s="50">
        <f t="shared" si="13"/>
        <v>1199079.4581579338</v>
      </c>
    </row>
    <row r="37" spans="1:9">
      <c r="A37" s="47" t="s">
        <v>237</v>
      </c>
      <c r="B37" s="48"/>
      <c r="C37" s="47" t="s">
        <v>238</v>
      </c>
      <c r="D37" s="40" t="s">
        <v>682</v>
      </c>
      <c r="E37" s="50">
        <f>E33-E36</f>
        <v>4181012.596026273</v>
      </c>
      <c r="F37" s="50">
        <f t="shared" ref="F37:I37" si="14">F33-F36</f>
        <v>3280126.4516551732</v>
      </c>
      <c r="G37" s="50">
        <f t="shared" si="14"/>
        <v>2289151.6928469636</v>
      </c>
      <c r="H37" s="50">
        <f t="shared" si="14"/>
        <v>1199079.4581579331</v>
      </c>
      <c r="I37" s="50">
        <f t="shared" si="14"/>
        <v>0</v>
      </c>
    </row>
    <row r="39" spans="1:9">
      <c r="A39" s="47" t="s">
        <v>667</v>
      </c>
      <c r="B39" s="49"/>
      <c r="C39" s="49">
        <v>6</v>
      </c>
    </row>
    <row r="40" spans="1:9">
      <c r="A40" s="46"/>
      <c r="B40" s="48"/>
      <c r="C40" s="48"/>
      <c r="D40" s="42"/>
      <c r="E40" s="181" t="s">
        <v>685</v>
      </c>
      <c r="F40" s="181"/>
      <c r="G40" s="181"/>
      <c r="H40" s="181"/>
      <c r="I40" s="181"/>
    </row>
    <row r="41" spans="1:9">
      <c r="A41" s="46"/>
      <c r="E41" s="183">
        <v>2024</v>
      </c>
      <c r="F41" s="183">
        <v>2025</v>
      </c>
      <c r="G41" s="183">
        <v>2026</v>
      </c>
      <c r="H41" s="183">
        <v>2027</v>
      </c>
      <c r="I41" s="183">
        <v>2028</v>
      </c>
    </row>
    <row r="42" spans="1:9">
      <c r="A42" s="47"/>
      <c r="B42" s="49"/>
      <c r="C42" s="49"/>
      <c r="D42" s="40" t="s">
        <v>686</v>
      </c>
      <c r="E42" s="50">
        <v>0</v>
      </c>
      <c r="F42" s="50">
        <f>E46</f>
        <v>11250000</v>
      </c>
      <c r="G42" s="50">
        <f t="shared" ref="G42:I42" si="15">F46</f>
        <v>8437500</v>
      </c>
      <c r="H42" s="50">
        <f t="shared" si="15"/>
        <v>6328125</v>
      </c>
      <c r="I42" s="50">
        <f t="shared" si="15"/>
        <v>4746093.75</v>
      </c>
    </row>
    <row r="43" spans="1:9">
      <c r="A43" s="46"/>
      <c r="B43" s="48"/>
      <c r="C43" s="48"/>
      <c r="D43" s="40" t="s">
        <v>687</v>
      </c>
      <c r="E43" s="50">
        <v>15000000</v>
      </c>
      <c r="F43" s="50">
        <v>0</v>
      </c>
      <c r="G43" s="50">
        <v>0</v>
      </c>
      <c r="H43" s="50">
        <v>0</v>
      </c>
      <c r="I43" s="50">
        <v>0</v>
      </c>
    </row>
    <row r="44" spans="1:9">
      <c r="A44" s="46"/>
      <c r="B44" s="48"/>
      <c r="C44" s="48"/>
      <c r="D44" s="40" t="s">
        <v>688</v>
      </c>
      <c r="E44" s="50">
        <f>SUM(E42:E43)</f>
        <v>15000000</v>
      </c>
      <c r="F44" s="50">
        <f t="shared" ref="F44:I44" si="16">SUM(F42:F43)</f>
        <v>11250000</v>
      </c>
      <c r="G44" s="50">
        <f t="shared" si="16"/>
        <v>8437500</v>
      </c>
      <c r="H44" s="50">
        <f t="shared" si="16"/>
        <v>6328125</v>
      </c>
      <c r="I44" s="50">
        <f t="shared" si="16"/>
        <v>4746093.75</v>
      </c>
    </row>
    <row r="45" spans="1:9">
      <c r="D45" s="40" t="s">
        <v>689</v>
      </c>
      <c r="E45" s="50">
        <f>25%*E44</f>
        <v>3750000</v>
      </c>
      <c r="F45" s="50">
        <f t="shared" ref="F45:I45" si="17">25%*F44</f>
        <v>2812500</v>
      </c>
      <c r="G45" s="50">
        <f t="shared" si="17"/>
        <v>2109375</v>
      </c>
      <c r="H45" s="50">
        <f t="shared" si="17"/>
        <v>1582031.25</v>
      </c>
      <c r="I45" s="50">
        <f t="shared" si="17"/>
        <v>1186523.4375</v>
      </c>
    </row>
    <row r="46" spans="1:9">
      <c r="D46" s="40" t="s">
        <v>682</v>
      </c>
      <c r="E46" s="50">
        <f>E44-E45</f>
        <v>11250000</v>
      </c>
      <c r="F46" s="50">
        <f>F44-F45</f>
        <v>8437500</v>
      </c>
      <c r="G46" s="50">
        <f t="shared" ref="G46:I46" si="18">G44-G45</f>
        <v>6328125</v>
      </c>
      <c r="H46" s="50">
        <f t="shared" si="18"/>
        <v>4746093.75</v>
      </c>
      <c r="I46" s="50">
        <f t="shared" si="18"/>
        <v>3559570.3125</v>
      </c>
    </row>
    <row r="48" spans="1:9">
      <c r="A48" s="46"/>
      <c r="B48" s="46"/>
      <c r="C48" s="46"/>
      <c r="D48" s="42" t="s">
        <v>647</v>
      </c>
    </row>
    <row r="49" spans="1:9">
      <c r="A49" s="46"/>
    </row>
    <row r="50" spans="1:9">
      <c r="A50" s="46"/>
      <c r="B50" s="48"/>
      <c r="C50" s="48"/>
      <c r="E50" s="183">
        <v>2024</v>
      </c>
      <c r="F50" s="183">
        <v>2025</v>
      </c>
      <c r="G50" s="183">
        <v>2026</v>
      </c>
      <c r="H50" s="183">
        <v>2027</v>
      </c>
      <c r="I50" s="183">
        <v>2028</v>
      </c>
    </row>
    <row r="51" spans="1:9">
      <c r="A51" s="47"/>
      <c r="B51" s="49"/>
      <c r="C51" s="49"/>
      <c r="D51" s="40" t="s">
        <v>641</v>
      </c>
    </row>
    <row r="52" spans="1:9">
      <c r="A52" s="46"/>
      <c r="B52" s="48"/>
      <c r="C52" s="48"/>
      <c r="D52" s="40" t="s">
        <v>690</v>
      </c>
      <c r="E52" s="50">
        <f>E46</f>
        <v>11250000</v>
      </c>
      <c r="F52" s="50">
        <f t="shared" ref="F52:I52" si="19">F46</f>
        <v>8437500</v>
      </c>
      <c r="G52" s="50">
        <f t="shared" si="19"/>
        <v>6328125</v>
      </c>
      <c r="H52" s="50">
        <f t="shared" si="19"/>
        <v>4746093.75</v>
      </c>
      <c r="I52" s="50">
        <f t="shared" si="19"/>
        <v>3559570.3125</v>
      </c>
    </row>
    <row r="53" spans="1:9">
      <c r="A53" s="46"/>
    </row>
    <row r="54" spans="1:9">
      <c r="A54" s="47"/>
      <c r="B54" s="49"/>
      <c r="C54" s="49"/>
      <c r="D54" s="40" t="s">
        <v>643</v>
      </c>
    </row>
    <row r="55" spans="1:9">
      <c r="A55" s="47"/>
      <c r="B55" s="49"/>
      <c r="C55" s="49"/>
      <c r="D55" s="191" t="s">
        <v>32</v>
      </c>
      <c r="E55" s="192">
        <f>(14/365)*E10</f>
        <v>298027.39726027398</v>
      </c>
      <c r="F55" s="192">
        <f t="shared" ref="F55:I55" si="20">(14/365)*F10</f>
        <v>312928.76712328766</v>
      </c>
      <c r="G55" s="192">
        <f t="shared" si="20"/>
        <v>328575.20547945215</v>
      </c>
      <c r="H55" s="192">
        <f t="shared" si="20"/>
        <v>345003.96575342474</v>
      </c>
      <c r="I55" s="192">
        <f t="shared" si="20"/>
        <v>362254.164041096</v>
      </c>
    </row>
    <row r="56" spans="1:9">
      <c r="A56" s="47"/>
      <c r="B56" s="47"/>
      <c r="C56" s="47"/>
      <c r="D56" s="191" t="s">
        <v>71</v>
      </c>
      <c r="E56" s="192">
        <f>(30/365)*E9</f>
        <v>1520547.9452054794</v>
      </c>
      <c r="F56" s="192">
        <f t="shared" ref="F56:I56" si="21">(30/365)*F9</f>
        <v>1596575.3424657534</v>
      </c>
      <c r="G56" s="192">
        <f t="shared" si="21"/>
        <v>1676404.1095890412</v>
      </c>
      <c r="H56" s="192">
        <f t="shared" si="21"/>
        <v>1760224.3150684934</v>
      </c>
      <c r="I56" s="192">
        <f t="shared" si="21"/>
        <v>1848235.530821918</v>
      </c>
    </row>
    <row r="57" spans="1:9">
      <c r="A57" s="47"/>
      <c r="B57" s="47"/>
      <c r="C57" s="47"/>
      <c r="D57" s="188" t="s">
        <v>691</v>
      </c>
      <c r="E57" s="189">
        <f>E133</f>
        <v>3735567.3905468206</v>
      </c>
      <c r="F57" s="189">
        <f>F133</f>
        <v>8551738.1041799095</v>
      </c>
      <c r="G57" s="189">
        <f t="shared" ref="G57:I57" si="22">G133</f>
        <v>13405743.620468168</v>
      </c>
      <c r="H57" s="189">
        <f t="shared" si="22"/>
        <v>18361405.600327794</v>
      </c>
      <c r="I57" s="189">
        <f t="shared" si="22"/>
        <v>23469781.342299148</v>
      </c>
    </row>
    <row r="58" spans="1:9">
      <c r="A58" s="46"/>
      <c r="B58" s="48"/>
      <c r="C58" s="48"/>
    </row>
    <row r="59" spans="1:9" ht="16" thickBot="1">
      <c r="A59" s="46"/>
      <c r="D59" s="198" t="s">
        <v>650</v>
      </c>
      <c r="E59" s="199">
        <f>SUM(E52:E58)</f>
        <v>16804142.733012576</v>
      </c>
      <c r="F59" s="199">
        <f t="shared" ref="F59:I59" si="23">SUM(F52:F58)</f>
        <v>18898742.213768952</v>
      </c>
      <c r="G59" s="199">
        <f t="shared" si="23"/>
        <v>21738847.93553666</v>
      </c>
      <c r="H59" s="199">
        <f t="shared" si="23"/>
        <v>25212727.631149713</v>
      </c>
      <c r="I59" s="199">
        <f t="shared" si="23"/>
        <v>29239841.349662162</v>
      </c>
    </row>
    <row r="60" spans="1:9" ht="16" thickTop="1">
      <c r="A60" s="47"/>
      <c r="B60" s="47"/>
      <c r="C60" s="47"/>
    </row>
    <row r="61" spans="1:9">
      <c r="A61" s="47"/>
      <c r="B61" s="47"/>
      <c r="C61" s="47"/>
      <c r="D61" s="40" t="s">
        <v>657</v>
      </c>
    </row>
    <row r="62" spans="1:9">
      <c r="A62" s="46"/>
      <c r="B62" s="46"/>
      <c r="C62" s="46"/>
      <c r="D62" s="40" t="s">
        <v>658</v>
      </c>
    </row>
    <row r="63" spans="1:9">
      <c r="A63" s="46"/>
      <c r="B63" s="48"/>
      <c r="C63" s="48"/>
      <c r="D63" s="40" t="s">
        <v>692</v>
      </c>
      <c r="E63" s="50">
        <f>10000000</f>
        <v>10000000</v>
      </c>
      <c r="F63" s="50">
        <f t="shared" ref="F63:I63" si="24">10000000</f>
        <v>10000000</v>
      </c>
      <c r="G63" s="50">
        <f t="shared" si="24"/>
        <v>10000000</v>
      </c>
      <c r="H63" s="50">
        <f t="shared" si="24"/>
        <v>10000000</v>
      </c>
      <c r="I63" s="50">
        <f t="shared" si="24"/>
        <v>10000000</v>
      </c>
    </row>
    <row r="64" spans="1:9">
      <c r="A64" s="46"/>
      <c r="B64" s="48"/>
      <c r="C64" s="48"/>
    </row>
    <row r="65" spans="1:9">
      <c r="A65" s="46"/>
      <c r="B65" s="48"/>
      <c r="C65" s="48"/>
      <c r="D65" s="40" t="s">
        <v>659</v>
      </c>
    </row>
    <row r="66" spans="1:9">
      <c r="A66" s="46"/>
      <c r="B66" s="48"/>
      <c r="C66" s="48"/>
      <c r="D66" s="40" t="s">
        <v>38</v>
      </c>
      <c r="E66" s="50">
        <f>E22</f>
        <v>1984500</v>
      </c>
      <c r="F66" s="50">
        <f t="shared" ref="F66:I66" si="25">F22</f>
        <v>4948054.1182781607</v>
      </c>
      <c r="G66" s="50">
        <f t="shared" si="25"/>
        <v>8745606.5166622996</v>
      </c>
      <c r="H66" s="50">
        <f t="shared" si="25"/>
        <v>13274353.960663013</v>
      </c>
      <c r="I66" s="50">
        <f t="shared" si="25"/>
        <v>18463582.426716957</v>
      </c>
    </row>
    <row r="67" spans="1:9">
      <c r="E67" s="183"/>
      <c r="F67" s="183"/>
      <c r="G67" s="183"/>
      <c r="H67" s="183"/>
      <c r="I67" s="183"/>
    </row>
    <row r="68" spans="1:9">
      <c r="D68" s="42" t="s">
        <v>693</v>
      </c>
      <c r="E68" s="181">
        <f>SUM(E63:E67)</f>
        <v>11984500</v>
      </c>
      <c r="F68" s="181">
        <f t="shared" ref="F68:I68" si="26">SUM(F63:F67)</f>
        <v>14948054.118278161</v>
      </c>
      <c r="G68" s="181">
        <f t="shared" si="26"/>
        <v>18745606.5166623</v>
      </c>
      <c r="H68" s="181">
        <f t="shared" si="26"/>
        <v>23274353.960663013</v>
      </c>
      <c r="I68" s="181">
        <f t="shared" si="26"/>
        <v>28463582.426716957</v>
      </c>
    </row>
    <row r="69" spans="1:9">
      <c r="A69" s="46"/>
    </row>
    <row r="70" spans="1:9">
      <c r="A70" s="47"/>
      <c r="D70" s="40" t="s">
        <v>661</v>
      </c>
    </row>
    <row r="71" spans="1:9">
      <c r="A71" s="47"/>
      <c r="D71" s="40" t="s">
        <v>694</v>
      </c>
      <c r="E71" s="50">
        <f>E37</f>
        <v>4181012.596026273</v>
      </c>
      <c r="F71" s="50">
        <f t="shared" ref="F71:I71" si="27">F37</f>
        <v>3280126.4516551732</v>
      </c>
      <c r="G71" s="50">
        <f t="shared" si="27"/>
        <v>2289151.6928469636</v>
      </c>
      <c r="H71" s="50">
        <f t="shared" si="27"/>
        <v>1199079.4581579331</v>
      </c>
      <c r="I71" s="50">
        <f t="shared" si="27"/>
        <v>0</v>
      </c>
    </row>
    <row r="72" spans="1:9">
      <c r="A72" s="47"/>
    </row>
    <row r="73" spans="1:9">
      <c r="A73" s="47"/>
      <c r="D73" s="40" t="s">
        <v>695</v>
      </c>
    </row>
    <row r="74" spans="1:9">
      <c r="A74" s="47"/>
      <c r="D74" s="191" t="s">
        <v>41</v>
      </c>
      <c r="E74" s="192">
        <f>(30/365)*E10</f>
        <v>638630.13698630128</v>
      </c>
      <c r="F74" s="192">
        <f t="shared" ref="F74:I74" si="28">(30/365)*F10</f>
        <v>670561.64383561641</v>
      </c>
      <c r="G74" s="192">
        <f t="shared" si="28"/>
        <v>704089.72602739732</v>
      </c>
      <c r="H74" s="192">
        <f t="shared" si="28"/>
        <v>739294.21232876729</v>
      </c>
      <c r="I74" s="192">
        <f t="shared" si="28"/>
        <v>776258.92294520559</v>
      </c>
    </row>
    <row r="75" spans="1:9">
      <c r="A75" s="47"/>
    </row>
    <row r="76" spans="1:9">
      <c r="A76" s="47"/>
      <c r="D76" s="42" t="s">
        <v>664</v>
      </c>
      <c r="E76" s="181">
        <f>SUM(E71:E75)</f>
        <v>4819642.7330125738</v>
      </c>
      <c r="F76" s="181">
        <f t="shared" ref="F76:I76" si="29">SUM(F71:F75)</f>
        <v>3950688.0954907895</v>
      </c>
      <c r="G76" s="181">
        <f t="shared" si="29"/>
        <v>2993241.4188743611</v>
      </c>
      <c r="H76" s="181">
        <f t="shared" si="29"/>
        <v>1938373.6704867003</v>
      </c>
      <c r="I76" s="181">
        <f t="shared" si="29"/>
        <v>776258.92294520559</v>
      </c>
    </row>
    <row r="77" spans="1:9" ht="16" thickBot="1">
      <c r="A77" s="47"/>
      <c r="D77" s="198" t="s">
        <v>665</v>
      </c>
      <c r="E77" s="199">
        <f>SUM(E68,E76)</f>
        <v>16804142.733012572</v>
      </c>
      <c r="F77" s="199">
        <f t="shared" ref="F77:I77" si="30">SUM(F68,F76)</f>
        <v>18898742.213768952</v>
      </c>
      <c r="G77" s="199">
        <f t="shared" si="30"/>
        <v>21738847.93553666</v>
      </c>
      <c r="H77" s="199">
        <f t="shared" si="30"/>
        <v>25212727.631149713</v>
      </c>
      <c r="I77" s="199">
        <f t="shared" si="30"/>
        <v>29239841.349662162</v>
      </c>
    </row>
    <row r="78" spans="1:9" ht="16" thickTop="1">
      <c r="A78" s="47"/>
    </row>
    <row r="79" spans="1:9">
      <c r="A79" s="47"/>
      <c r="D79" s="40" t="s">
        <v>696</v>
      </c>
      <c r="E79" s="50">
        <f>E59-E77</f>
        <v>0</v>
      </c>
      <c r="F79" s="50">
        <f t="shared" ref="F79:I79" si="31">F59-F77</f>
        <v>0</v>
      </c>
      <c r="G79" s="50">
        <f t="shared" si="31"/>
        <v>0</v>
      </c>
      <c r="H79" s="50">
        <f t="shared" si="31"/>
        <v>0</v>
      </c>
      <c r="I79" s="50">
        <f t="shared" si="31"/>
        <v>0</v>
      </c>
    </row>
    <row r="80" spans="1:9">
      <c r="A80" s="47"/>
      <c r="D80" s="42" t="s">
        <v>730</v>
      </c>
      <c r="E80" s="183">
        <v>2024</v>
      </c>
      <c r="F80" s="183">
        <v>2025</v>
      </c>
      <c r="G80" s="183">
        <v>2026</v>
      </c>
      <c r="H80" s="183">
        <v>2027</v>
      </c>
      <c r="I80" s="183">
        <v>2028</v>
      </c>
    </row>
    <row r="81" spans="1:9">
      <c r="A81" s="47"/>
      <c r="D81" s="40" t="s">
        <v>727</v>
      </c>
      <c r="E81" s="201">
        <f>E20/E59</f>
        <v>0.11809587858959035</v>
      </c>
      <c r="F81" s="201">
        <f t="shared" ref="F81:I81" si="32">F20/F59</f>
        <v>0.15681224098178451</v>
      </c>
      <c r="G81" s="201">
        <f t="shared" si="32"/>
        <v>0.174689680412008</v>
      </c>
      <c r="H81" s="201">
        <f t="shared" si="32"/>
        <v>0.17962147968494907</v>
      </c>
      <c r="I81" s="201">
        <f t="shared" si="32"/>
        <v>0.177471156700168</v>
      </c>
    </row>
    <row r="82" spans="1:9">
      <c r="A82" s="47"/>
      <c r="D82" s="40" t="s">
        <v>322</v>
      </c>
      <c r="E82" s="201">
        <f>E20/E68</f>
        <v>0.16558888564395677</v>
      </c>
      <c r="F82" s="201">
        <f t="shared" ref="F82:I82" si="33">F20/F68</f>
        <v>0.19825684967613211</v>
      </c>
      <c r="G82" s="201">
        <f t="shared" si="33"/>
        <v>0.20258359712227131</v>
      </c>
      <c r="H82" s="201">
        <f t="shared" si="33"/>
        <v>0.19458101615430201</v>
      </c>
      <c r="I82" s="201">
        <f t="shared" si="33"/>
        <v>0.18231115072792614</v>
      </c>
    </row>
    <row r="83" spans="1:9">
      <c r="A83" s="47"/>
      <c r="D83" s="40" t="s">
        <v>728</v>
      </c>
      <c r="E83" s="201">
        <f>E20/E9</f>
        <v>0.10727027027027027</v>
      </c>
      <c r="F83" s="201">
        <f t="shared" ref="F83:I83" si="34">F20/F9</f>
        <v>0.15256391857287829</v>
      </c>
      <c r="G83" s="201">
        <f t="shared" si="34"/>
        <v>0.18618875520667466</v>
      </c>
      <c r="H83" s="201">
        <f t="shared" si="34"/>
        <v>0.21146499007465597</v>
      </c>
      <c r="I83" s="201">
        <f t="shared" si="34"/>
        <v>0.23076708655584116</v>
      </c>
    </row>
    <row r="84" spans="1:9">
      <c r="A84" s="47"/>
    </row>
    <row r="85" spans="1:9">
      <c r="A85" s="47"/>
      <c r="D85" s="42" t="s">
        <v>731</v>
      </c>
      <c r="E85" s="183">
        <v>2024</v>
      </c>
      <c r="F85" s="183">
        <v>2025</v>
      </c>
      <c r="G85" s="183">
        <v>2026</v>
      </c>
      <c r="H85" s="183">
        <v>2027</v>
      </c>
      <c r="I85" s="183">
        <v>2028</v>
      </c>
    </row>
    <row r="86" spans="1:9">
      <c r="A86" s="47"/>
      <c r="D86" s="40" t="s">
        <v>323</v>
      </c>
      <c r="E86" s="50">
        <f>SUM(E55:E57)/SUM(E74)</f>
        <v>8.696963095450835</v>
      </c>
      <c r="F86" s="50">
        <f t="shared" ref="F86:I86" si="35">SUM(F55:F57)/SUM(F74)</f>
        <v>15.600716667792966</v>
      </c>
      <c r="G86" s="50">
        <f t="shared" si="35"/>
        <v>21.887441849899972</v>
      </c>
      <c r="H86" s="50">
        <f t="shared" si="35"/>
        <v>27.684017458597545</v>
      </c>
      <c r="I86" s="50">
        <f t="shared" si="35"/>
        <v>33.082094489463117</v>
      </c>
    </row>
    <row r="87" spans="1:9">
      <c r="A87" s="47"/>
      <c r="D87" s="47" t="s">
        <v>729</v>
      </c>
      <c r="E87" s="50">
        <f>(E56+E57)/E74</f>
        <v>8.2302964287841682</v>
      </c>
      <c r="F87" s="50">
        <f t="shared" ref="F87:I87" si="36">(F56+F57)/F74</f>
        <v>15.134050001126298</v>
      </c>
      <c r="G87" s="50">
        <f t="shared" si="36"/>
        <v>21.420775183233307</v>
      </c>
      <c r="H87" s="50">
        <f t="shared" si="36"/>
        <v>27.217350791930876</v>
      </c>
      <c r="I87" s="50">
        <f t="shared" si="36"/>
        <v>32.615427822796455</v>
      </c>
    </row>
    <row r="88" spans="1:9">
      <c r="A88" s="47"/>
      <c r="D88" s="47"/>
    </row>
    <row r="89" spans="1:9">
      <c r="A89" s="47"/>
    </row>
    <row r="90" spans="1:9">
      <c r="A90" s="47"/>
    </row>
    <row r="91" spans="1:9">
      <c r="A91" s="47"/>
    </row>
    <row r="93" spans="1:9">
      <c r="A93" s="47"/>
      <c r="D93" s="40" t="s">
        <v>698</v>
      </c>
      <c r="E93" s="50" t="s">
        <v>697</v>
      </c>
    </row>
    <row r="94" spans="1:9">
      <c r="A94" s="47"/>
      <c r="D94" s="40">
        <v>30</v>
      </c>
      <c r="E94" s="50" t="s">
        <v>699</v>
      </c>
    </row>
    <row r="95" spans="1:9">
      <c r="A95" s="46"/>
      <c r="D95" s="175" t="s">
        <v>702</v>
      </c>
      <c r="E95" s="50" t="s">
        <v>700</v>
      </c>
    </row>
    <row r="96" spans="1:9">
      <c r="A96" s="47"/>
      <c r="D96" s="175" t="s">
        <v>703</v>
      </c>
      <c r="E96" s="50" t="s">
        <v>701</v>
      </c>
    </row>
    <row r="97" spans="1:9">
      <c r="A97" s="46"/>
    </row>
    <row r="98" spans="1:9">
      <c r="A98" s="47"/>
    </row>
    <row r="99" spans="1:9">
      <c r="A99" s="47"/>
      <c r="D99" s="40" t="s">
        <v>32</v>
      </c>
      <c r="E99" s="193" t="s">
        <v>704</v>
      </c>
    </row>
    <row r="100" spans="1:9">
      <c r="A100" s="47"/>
    </row>
    <row r="101" spans="1:9">
      <c r="A101" s="47"/>
      <c r="D101" s="40" t="s">
        <v>705</v>
      </c>
      <c r="E101" s="50" t="s">
        <v>706</v>
      </c>
    </row>
    <row r="102" spans="1:9">
      <c r="D102" s="40" t="s">
        <v>708</v>
      </c>
      <c r="E102" s="50" t="s">
        <v>707</v>
      </c>
    </row>
    <row r="103" spans="1:9">
      <c r="D103" s="40" t="s">
        <v>710</v>
      </c>
      <c r="E103" s="50" t="s">
        <v>709</v>
      </c>
    </row>
    <row r="105" spans="1:9">
      <c r="D105" s="40" t="s">
        <v>726</v>
      </c>
    </row>
    <row r="107" spans="1:9">
      <c r="E107" s="183">
        <v>2024</v>
      </c>
      <c r="F107" s="183">
        <v>2025</v>
      </c>
      <c r="G107" s="183">
        <v>2026</v>
      </c>
      <c r="H107" s="183">
        <v>2027</v>
      </c>
      <c r="I107" s="183">
        <v>2028</v>
      </c>
    </row>
    <row r="108" spans="1:9">
      <c r="D108" s="42" t="s">
        <v>711</v>
      </c>
    </row>
    <row r="109" spans="1:9">
      <c r="D109" s="40" t="s">
        <v>654</v>
      </c>
      <c r="E109" s="50">
        <f>E18</f>
        <v>2835000</v>
      </c>
      <c r="F109" s="50">
        <f t="shared" ref="F109:I109" si="37">F18</f>
        <v>4233648.7403973723</v>
      </c>
      <c r="G109" s="50">
        <f t="shared" si="37"/>
        <v>5425074.8548344839</v>
      </c>
      <c r="H109" s="50">
        <f t="shared" si="37"/>
        <v>6469639.2057153033</v>
      </c>
      <c r="I109" s="50">
        <f t="shared" si="37"/>
        <v>7413183.5229342068</v>
      </c>
    </row>
    <row r="110" spans="1:9">
      <c r="D110" s="42" t="s">
        <v>712</v>
      </c>
    </row>
    <row r="111" spans="1:9">
      <c r="D111" s="40" t="s">
        <v>689</v>
      </c>
      <c r="E111" s="194">
        <f>E15</f>
        <v>3750000</v>
      </c>
      <c r="F111" s="194">
        <f t="shared" ref="F111:I111" si="38">F15</f>
        <v>2812500</v>
      </c>
      <c r="G111" s="194">
        <f t="shared" si="38"/>
        <v>2109375</v>
      </c>
      <c r="H111" s="194">
        <f t="shared" si="38"/>
        <v>1582031.25</v>
      </c>
      <c r="I111" s="194">
        <f t="shared" si="38"/>
        <v>1186523.4375</v>
      </c>
    </row>
    <row r="112" spans="1:9">
      <c r="D112" s="40" t="s">
        <v>25</v>
      </c>
      <c r="E112" s="50">
        <f>E17</f>
        <v>500000</v>
      </c>
      <c r="F112" s="50">
        <f t="shared" ref="F112:I112" si="39">F17</f>
        <v>418101.25960262731</v>
      </c>
      <c r="G112" s="50">
        <f t="shared" si="39"/>
        <v>328012.64516551734</v>
      </c>
      <c r="H112" s="50">
        <f t="shared" si="39"/>
        <v>228915.16928469637</v>
      </c>
      <c r="I112" s="50">
        <f t="shared" si="39"/>
        <v>119907.94581579331</v>
      </c>
    </row>
    <row r="114" spans="4:9">
      <c r="D114" s="42" t="s">
        <v>713</v>
      </c>
      <c r="E114" s="181">
        <f>SUM(E109:E113)</f>
        <v>7085000</v>
      </c>
      <c r="F114" s="181">
        <f t="shared" ref="F114:I114" si="40">SUM(F109:F113)</f>
        <v>7464250</v>
      </c>
      <c r="G114" s="181">
        <f t="shared" si="40"/>
        <v>7862462.5000000009</v>
      </c>
      <c r="H114" s="181">
        <f t="shared" si="40"/>
        <v>8280585.625</v>
      </c>
      <c r="I114" s="181">
        <f t="shared" si="40"/>
        <v>8719614.90625</v>
      </c>
    </row>
    <row r="115" spans="4:9">
      <c r="D115" s="40" t="s">
        <v>720</v>
      </c>
      <c r="E115" s="50">
        <f>0-E56</f>
        <v>-1520547.9452054794</v>
      </c>
      <c r="F115" s="50">
        <f>E56-F56</f>
        <v>-76027.39726027404</v>
      </c>
      <c r="G115" s="50">
        <f t="shared" ref="G115:I115" si="41">F56-G56</f>
        <v>-79828.767123287776</v>
      </c>
      <c r="H115" s="50">
        <f t="shared" si="41"/>
        <v>-83820.205479452154</v>
      </c>
      <c r="I115" s="50">
        <f t="shared" si="41"/>
        <v>-88011.21575342468</v>
      </c>
    </row>
    <row r="116" spans="4:9">
      <c r="D116" s="40" t="s">
        <v>721</v>
      </c>
      <c r="E116" s="50">
        <f>E74-0</f>
        <v>638630.13698630128</v>
      </c>
      <c r="F116" s="50">
        <f>F74-E74</f>
        <v>31931.506849315134</v>
      </c>
      <c r="G116" s="50">
        <f t="shared" ref="G116:I116" si="42">G74-F74</f>
        <v>33528.082191780908</v>
      </c>
      <c r="H116" s="50">
        <f t="shared" si="42"/>
        <v>35204.486301369965</v>
      </c>
      <c r="I116" s="50">
        <f t="shared" si="42"/>
        <v>36964.7106164383</v>
      </c>
    </row>
    <row r="117" spans="4:9">
      <c r="D117" s="40" t="s">
        <v>722</v>
      </c>
      <c r="E117" s="50">
        <f>0-E55</f>
        <v>-298027.39726027398</v>
      </c>
      <c r="F117" s="50">
        <f>E55-F55</f>
        <v>-14901.369863013679</v>
      </c>
      <c r="G117" s="50">
        <f t="shared" ref="G117:I117" si="43">F55-G55</f>
        <v>-15646.438356164494</v>
      </c>
      <c r="H117" s="50">
        <f t="shared" si="43"/>
        <v>-16428.760273972584</v>
      </c>
      <c r="I117" s="50">
        <f t="shared" si="43"/>
        <v>-17250.198287671257</v>
      </c>
    </row>
    <row r="118" spans="4:9">
      <c r="D118" s="42" t="s">
        <v>714</v>
      </c>
      <c r="E118" s="181">
        <f>SUM(E114:E117)</f>
        <v>5905054.7945205476</v>
      </c>
      <c r="F118" s="181">
        <f t="shared" ref="F118:I118" si="44">SUM(F114:F117)</f>
        <v>7405252.7397260275</v>
      </c>
      <c r="G118" s="181">
        <f t="shared" si="44"/>
        <v>7800515.3767123297</v>
      </c>
      <c r="H118" s="181">
        <f t="shared" si="44"/>
        <v>8215541.1455479451</v>
      </c>
      <c r="I118" s="181">
        <f t="shared" si="44"/>
        <v>8651318.2028253414</v>
      </c>
    </row>
    <row r="119" spans="4:9">
      <c r="D119" s="40" t="s">
        <v>715</v>
      </c>
      <c r="E119" s="50">
        <f>0-(0+E19)</f>
        <v>-850500</v>
      </c>
      <c r="F119" s="50">
        <f t="shared" ref="F119:I119" si="45">0-(0+F19)</f>
        <v>-1270094.6221192116</v>
      </c>
      <c r="G119" s="50">
        <f t="shared" si="45"/>
        <v>-1627522.4564503452</v>
      </c>
      <c r="H119" s="50">
        <f t="shared" si="45"/>
        <v>-1940891.7617145909</v>
      </c>
      <c r="I119" s="50">
        <f t="shared" si="45"/>
        <v>-2223955.0568802617</v>
      </c>
    </row>
    <row r="120" spans="4:9">
      <c r="D120" s="40" t="s">
        <v>716</v>
      </c>
      <c r="E120" s="50">
        <f>0-(0+E17)</f>
        <v>-500000</v>
      </c>
      <c r="F120" s="50">
        <f t="shared" ref="F120:I120" si="46">0-(0+F17)</f>
        <v>-418101.25960262731</v>
      </c>
      <c r="G120" s="50">
        <f t="shared" si="46"/>
        <v>-328012.64516551734</v>
      </c>
      <c r="H120" s="50">
        <f t="shared" si="46"/>
        <v>-228915.16928469637</v>
      </c>
      <c r="I120" s="50">
        <f t="shared" si="46"/>
        <v>-119907.94581579331</v>
      </c>
    </row>
    <row r="122" spans="4:9">
      <c r="D122" s="195" t="s">
        <v>717</v>
      </c>
      <c r="E122" s="196">
        <f>SUM(E118:E121)</f>
        <v>4554554.7945205476</v>
      </c>
      <c r="F122" s="196">
        <f t="shared" ref="F122:I122" si="47">SUM(F118:F121)</f>
        <v>5717056.8580041882</v>
      </c>
      <c r="G122" s="196">
        <f t="shared" si="47"/>
        <v>5844980.2750964677</v>
      </c>
      <c r="H122" s="196">
        <f t="shared" si="47"/>
        <v>6045734.2145486576</v>
      </c>
      <c r="I122" s="196">
        <f t="shared" si="47"/>
        <v>6307455.2001292864</v>
      </c>
    </row>
    <row r="124" spans="4:9">
      <c r="D124" s="42" t="s">
        <v>718</v>
      </c>
    </row>
    <row r="127" spans="4:9">
      <c r="D127" s="42" t="s">
        <v>719</v>
      </c>
      <c r="E127" s="183"/>
      <c r="F127" s="183"/>
      <c r="G127" s="183"/>
      <c r="H127" s="183"/>
      <c r="I127" s="183"/>
    </row>
    <row r="128" spans="4:9">
      <c r="D128" s="40" t="s">
        <v>723</v>
      </c>
      <c r="E128" s="197">
        <f>E71-(5000000)</f>
        <v>-818987.40397372702</v>
      </c>
      <c r="F128" s="197">
        <f>F71-E71</f>
        <v>-900886.14437109977</v>
      </c>
      <c r="G128" s="197">
        <f t="shared" ref="G128:I128" si="48">G71-F71</f>
        <v>-990974.75880820956</v>
      </c>
      <c r="H128" s="197">
        <f t="shared" si="48"/>
        <v>-1090072.2346890306</v>
      </c>
      <c r="I128" s="197">
        <f t="shared" si="48"/>
        <v>-1199079.4581579331</v>
      </c>
    </row>
    <row r="131" spans="4:9">
      <c r="D131" s="42" t="s">
        <v>724</v>
      </c>
      <c r="E131" s="181">
        <f>SUM(E122:E130)</f>
        <v>3735567.3905468206</v>
      </c>
      <c r="F131" s="181">
        <f t="shared" ref="F131:I131" si="49">SUM(F122:F130)</f>
        <v>4816170.7136330884</v>
      </c>
      <c r="G131" s="181">
        <f t="shared" si="49"/>
        <v>4854005.5162882581</v>
      </c>
      <c r="H131" s="181">
        <f t="shared" si="49"/>
        <v>4955661.9798596269</v>
      </c>
      <c r="I131" s="181">
        <f t="shared" si="49"/>
        <v>5108375.7419713531</v>
      </c>
    </row>
    <row r="132" spans="4:9">
      <c r="D132" s="40" t="s">
        <v>725</v>
      </c>
      <c r="E132" s="50">
        <v>0</v>
      </c>
      <c r="F132" s="50">
        <f>E133</f>
        <v>3735567.3905468206</v>
      </c>
      <c r="G132" s="50">
        <f>F133</f>
        <v>8551738.1041799095</v>
      </c>
      <c r="H132" s="50">
        <f t="shared" ref="H132:I132" si="50">G133</f>
        <v>13405743.620468168</v>
      </c>
      <c r="I132" s="50">
        <f t="shared" si="50"/>
        <v>18361405.600327794</v>
      </c>
    </row>
    <row r="133" spans="4:9">
      <c r="D133" s="195" t="s">
        <v>691</v>
      </c>
      <c r="E133" s="197">
        <f>SUM(E131:E132)</f>
        <v>3735567.3905468206</v>
      </c>
      <c r="F133" s="197">
        <f>SUM(F131:F132)</f>
        <v>8551738.1041799095</v>
      </c>
      <c r="G133" s="197">
        <f>SUM(G131:G132)</f>
        <v>13405743.620468168</v>
      </c>
      <c r="H133" s="197">
        <f t="shared" ref="H133:I133" si="51">SUM(H131:H132)</f>
        <v>18361405.600327794</v>
      </c>
      <c r="I133" s="197">
        <f t="shared" si="51"/>
        <v>23469781.342299148</v>
      </c>
    </row>
  </sheetData>
  <pageMargins left="0.7" right="0.7" top="0.75" bottom="0.75" header="0.3" footer="0.3"/>
  <pageSetup scale="4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FD57-4231-4173-A333-EACB75AED887}">
  <dimension ref="A1:J143"/>
  <sheetViews>
    <sheetView view="pageBreakPreview" topLeftCell="A120" zoomScale="60" zoomScaleNormal="100" workbookViewId="0">
      <selection activeCell="B10" sqref="B10"/>
    </sheetView>
  </sheetViews>
  <sheetFormatPr defaultColWidth="9.1796875" defaultRowHeight="14"/>
  <cols>
    <col min="1" max="1" width="97.1796875" style="23" customWidth="1"/>
    <col min="2" max="2" width="21.26953125" style="23" customWidth="1"/>
    <col min="3" max="3" width="18.7265625" style="23" customWidth="1"/>
    <col min="4" max="4" width="19.7265625" style="23" customWidth="1"/>
    <col min="5" max="5" width="21" style="23" customWidth="1"/>
    <col min="6" max="6" width="18.7265625" style="23" customWidth="1"/>
    <col min="7" max="16384" width="9.1796875" style="23"/>
  </cols>
  <sheetData>
    <row r="1" spans="1:10" ht="22.5">
      <c r="A1" s="59"/>
      <c r="B1" s="60"/>
      <c r="C1" s="60" t="s">
        <v>265</v>
      </c>
      <c r="E1" s="59"/>
      <c r="F1" s="59"/>
      <c r="G1" s="59"/>
      <c r="H1" s="59"/>
      <c r="I1" s="59"/>
      <c r="J1" s="59"/>
    </row>
    <row r="2" spans="1:10" ht="20.149999999999999" customHeight="1">
      <c r="A2" s="59"/>
      <c r="B2" s="60"/>
      <c r="C2" s="59"/>
      <c r="D2" s="59"/>
      <c r="E2" s="59"/>
      <c r="F2" s="59"/>
      <c r="G2" s="59"/>
      <c r="H2" s="59"/>
      <c r="I2" s="59"/>
      <c r="J2" s="59"/>
    </row>
    <row r="3" spans="1:10" ht="22.5">
      <c r="A3" s="212" t="s">
        <v>266</v>
      </c>
      <c r="B3" s="212"/>
      <c r="C3" s="212"/>
      <c r="D3" s="212"/>
      <c r="E3" s="212"/>
      <c r="F3" s="212"/>
      <c r="G3" s="212"/>
      <c r="H3" s="212"/>
      <c r="I3" s="212"/>
      <c r="J3" s="212"/>
    </row>
    <row r="4" spans="1:10" ht="22.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ht="10" customHeight="1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0" ht="23">
      <c r="A6" s="62" t="s">
        <v>143</v>
      </c>
      <c r="B6" s="63"/>
      <c r="C6" s="63"/>
      <c r="D6" s="63"/>
      <c r="E6" s="63"/>
      <c r="F6" s="63"/>
      <c r="G6" s="63"/>
    </row>
    <row r="7" spans="1:10" ht="23">
      <c r="A7" s="63" t="s">
        <v>267</v>
      </c>
      <c r="B7" s="63"/>
      <c r="C7" s="63"/>
      <c r="D7" s="63"/>
      <c r="E7" s="63"/>
      <c r="F7" s="63"/>
      <c r="G7" s="63"/>
    </row>
    <row r="8" spans="1:10" ht="23">
      <c r="A8" s="63"/>
      <c r="B8" s="63"/>
      <c r="C8" s="63"/>
      <c r="D8" s="63"/>
      <c r="E8" s="63"/>
      <c r="F8" s="63"/>
      <c r="G8" s="63"/>
    </row>
    <row r="9" spans="1:10" ht="23">
      <c r="A9" s="62" t="s">
        <v>268</v>
      </c>
      <c r="B9" s="63"/>
      <c r="C9" s="63"/>
      <c r="D9" s="63"/>
      <c r="E9" s="63"/>
      <c r="F9" s="63"/>
      <c r="G9" s="63"/>
    </row>
    <row r="10" spans="1:10" ht="23">
      <c r="A10" s="63"/>
      <c r="B10" s="62">
        <v>2019</v>
      </c>
      <c r="C10" s="62">
        <v>2020</v>
      </c>
      <c r="D10" s="62">
        <v>2021</v>
      </c>
      <c r="E10" s="62">
        <v>2022</v>
      </c>
      <c r="F10" s="62">
        <v>2023</v>
      </c>
      <c r="G10" s="63"/>
    </row>
    <row r="11" spans="1:10" ht="23">
      <c r="A11" s="63"/>
      <c r="B11" s="64" t="s">
        <v>269</v>
      </c>
      <c r="C11" s="64" t="s">
        <v>269</v>
      </c>
      <c r="D11" s="64" t="s">
        <v>269</v>
      </c>
      <c r="E11" s="64" t="s">
        <v>269</v>
      </c>
      <c r="F11" s="64" t="s">
        <v>269</v>
      </c>
      <c r="G11" s="63"/>
    </row>
    <row r="12" spans="1:10" ht="23">
      <c r="A12" s="63" t="s">
        <v>270</v>
      </c>
      <c r="B12" s="65">
        <v>250283.1</v>
      </c>
      <c r="C12" s="65">
        <v>262555.7</v>
      </c>
      <c r="D12" s="65">
        <v>264026.5</v>
      </c>
      <c r="E12" s="65">
        <v>298077.90000000002</v>
      </c>
      <c r="F12" s="65">
        <v>310905</v>
      </c>
      <c r="G12" s="63"/>
    </row>
    <row r="13" spans="1:10" ht="23">
      <c r="A13" s="63" t="s">
        <v>271</v>
      </c>
      <c r="B13" s="65">
        <v>9.6</v>
      </c>
      <c r="C13" s="65">
        <v>0</v>
      </c>
      <c r="D13" s="65">
        <v>0</v>
      </c>
      <c r="E13" s="65">
        <v>0</v>
      </c>
      <c r="F13" s="65">
        <v>0</v>
      </c>
      <c r="G13" s="63"/>
    </row>
    <row r="14" spans="1:10" ht="23">
      <c r="A14" s="63" t="s">
        <v>272</v>
      </c>
      <c r="B14" s="65">
        <v>-72398.8</v>
      </c>
      <c r="C14" s="65">
        <v>-75284.899999999994</v>
      </c>
      <c r="D14" s="65">
        <v>-80852.800000000003</v>
      </c>
      <c r="E14" s="65">
        <v>-91467.8</v>
      </c>
      <c r="F14" s="65">
        <v>-92232</v>
      </c>
      <c r="G14" s="63"/>
    </row>
    <row r="15" spans="1:10" ht="26">
      <c r="A15" s="63" t="s">
        <v>273</v>
      </c>
      <c r="B15" s="66">
        <v>-53590.2</v>
      </c>
      <c r="C15" s="66">
        <f>-(47559.7+1669.6)</f>
        <v>-49229.299999999996</v>
      </c>
      <c r="D15" s="66">
        <f>-(3009.7+46034.8)</f>
        <v>-49044.5</v>
      </c>
      <c r="E15" s="66">
        <f>-(2361.2+55187)</f>
        <v>-57548.2</v>
      </c>
      <c r="F15" s="66">
        <f>-(4725+74085)</f>
        <v>-78810</v>
      </c>
      <c r="G15" s="63"/>
    </row>
    <row r="16" spans="1:10" ht="23">
      <c r="A16" s="63" t="s">
        <v>274</v>
      </c>
      <c r="B16" s="65">
        <f>SUM(B12:B15)</f>
        <v>124303.70000000003</v>
      </c>
      <c r="C16" s="65">
        <f>SUM(C12:C15)</f>
        <v>138041.50000000003</v>
      </c>
      <c r="D16" s="65">
        <f>SUM(D12:D15)</f>
        <v>134129.20000000001</v>
      </c>
      <c r="E16" s="65">
        <f>SUM(E12:E15)</f>
        <v>149061.90000000002</v>
      </c>
      <c r="F16" s="65">
        <f>SUM(F12:F15)</f>
        <v>139863</v>
      </c>
      <c r="G16" s="63"/>
    </row>
    <row r="17" spans="1:7" ht="26">
      <c r="A17" s="63" t="s">
        <v>275</v>
      </c>
      <c r="B17" s="66">
        <f>-(33660.4+301+1370.3)</f>
        <v>-35331.700000000004</v>
      </c>
      <c r="C17" s="66">
        <f>-(31964.8+301+1359.1+2922.8)</f>
        <v>-36547.700000000004</v>
      </c>
      <c r="D17" s="66">
        <f>-(32624.5+406.5+1628.5+3304.8)</f>
        <v>-37964.300000000003</v>
      </c>
      <c r="E17" s="66">
        <f>-(34145.2+281.3+1850+3656.8)</f>
        <v>-39933.300000000003</v>
      </c>
      <c r="F17" s="66">
        <f>-(39755+282+8418+6411)</f>
        <v>-54866</v>
      </c>
      <c r="G17" s="63"/>
    </row>
    <row r="18" spans="1:7" ht="23">
      <c r="A18" s="63"/>
      <c r="B18" s="65">
        <f t="shared" ref="B18:F18" si="0">B16+B17</f>
        <v>88972.000000000029</v>
      </c>
      <c r="C18" s="65">
        <f t="shared" si="0"/>
        <v>101493.80000000002</v>
      </c>
      <c r="D18" s="65">
        <f t="shared" si="0"/>
        <v>96164.900000000009</v>
      </c>
      <c r="E18" s="65">
        <f t="shared" si="0"/>
        <v>109128.60000000002</v>
      </c>
      <c r="F18" s="65">
        <f t="shared" si="0"/>
        <v>84997</v>
      </c>
      <c r="G18" s="63"/>
    </row>
    <row r="19" spans="1:7" ht="23">
      <c r="A19" s="63" t="s">
        <v>276</v>
      </c>
      <c r="B19" s="65">
        <v>5.2</v>
      </c>
      <c r="C19" s="65">
        <f>3296.1+60.9</f>
        <v>3357</v>
      </c>
      <c r="D19" s="65">
        <f>-(314.1+192.9)</f>
        <v>-507</v>
      </c>
      <c r="E19" s="65">
        <f>-(279.8+196.2)</f>
        <v>-476</v>
      </c>
      <c r="F19" s="65">
        <f>-(50.7-12.5)</f>
        <v>-38.200000000000003</v>
      </c>
      <c r="G19" s="63"/>
    </row>
    <row r="20" spans="1:7" ht="26">
      <c r="A20" s="63" t="s">
        <v>277</v>
      </c>
      <c r="B20" s="66">
        <v>2760.2</v>
      </c>
      <c r="C20" s="66">
        <v>3518.8</v>
      </c>
      <c r="D20" s="66">
        <v>2198.4</v>
      </c>
      <c r="E20" s="66">
        <v>2413.4</v>
      </c>
      <c r="F20" s="66">
        <f>4075.2+10383+90</f>
        <v>14548.2</v>
      </c>
      <c r="G20" s="63"/>
    </row>
    <row r="21" spans="1:7" ht="23">
      <c r="A21" s="63" t="s">
        <v>278</v>
      </c>
      <c r="B21" s="65">
        <f t="shared" ref="B21:F21" si="1">B18+B19+B20</f>
        <v>91737.400000000023</v>
      </c>
      <c r="C21" s="65">
        <f t="shared" si="1"/>
        <v>108369.60000000002</v>
      </c>
      <c r="D21" s="65">
        <f t="shared" si="1"/>
        <v>97856.3</v>
      </c>
      <c r="E21" s="65">
        <f t="shared" si="1"/>
        <v>111066.00000000001</v>
      </c>
      <c r="F21" s="65">
        <f t="shared" si="1"/>
        <v>99507</v>
      </c>
      <c r="G21" s="63"/>
    </row>
    <row r="22" spans="1:7" ht="26">
      <c r="A22" s="63" t="s">
        <v>93</v>
      </c>
      <c r="B22" s="66">
        <v>-519.6</v>
      </c>
      <c r="C22" s="66">
        <v>-2596.6</v>
      </c>
      <c r="D22" s="66">
        <v>-4220.8</v>
      </c>
      <c r="E22" s="66">
        <v>-8852.6</v>
      </c>
      <c r="F22" s="66">
        <v>-11162.3</v>
      </c>
      <c r="G22" s="63"/>
    </row>
    <row r="23" spans="1:7" ht="23">
      <c r="A23" s="63" t="s">
        <v>279</v>
      </c>
      <c r="B23" s="65">
        <f t="shared" ref="B23:F23" si="2">B21+B22</f>
        <v>91217.800000000017</v>
      </c>
      <c r="C23" s="65">
        <f t="shared" si="2"/>
        <v>105773.00000000001</v>
      </c>
      <c r="D23" s="65">
        <f t="shared" si="2"/>
        <v>93635.5</v>
      </c>
      <c r="E23" s="65">
        <f t="shared" si="2"/>
        <v>102213.40000000001</v>
      </c>
      <c r="F23" s="65">
        <f t="shared" si="2"/>
        <v>88344.7</v>
      </c>
      <c r="G23" s="63"/>
    </row>
    <row r="24" spans="1:7" ht="26">
      <c r="A24" s="63" t="s">
        <v>280</v>
      </c>
      <c r="B24" s="67">
        <v>-28727.3</v>
      </c>
      <c r="C24" s="67">
        <v>-32115.1</v>
      </c>
      <c r="D24" s="67">
        <v>-24959.3</v>
      </c>
      <c r="E24" s="67">
        <v>-34717.300000000003</v>
      </c>
      <c r="F24" s="67">
        <v>-35862.400000000001</v>
      </c>
      <c r="G24" s="63"/>
    </row>
    <row r="25" spans="1:7" ht="26">
      <c r="A25" s="63" t="s">
        <v>281</v>
      </c>
      <c r="B25" s="68">
        <f t="shared" ref="B25:F25" si="3">B23+B24</f>
        <v>62490.500000000015</v>
      </c>
      <c r="C25" s="68">
        <f t="shared" si="3"/>
        <v>73657.900000000023</v>
      </c>
      <c r="D25" s="68">
        <f t="shared" si="3"/>
        <v>68676.2</v>
      </c>
      <c r="E25" s="68">
        <f t="shared" si="3"/>
        <v>67496.100000000006</v>
      </c>
      <c r="F25" s="68">
        <f t="shared" si="3"/>
        <v>52482.299999999996</v>
      </c>
      <c r="G25" s="63"/>
    </row>
    <row r="26" spans="1:7" ht="23">
      <c r="A26" s="63"/>
      <c r="B26" s="63"/>
      <c r="C26" s="63"/>
      <c r="D26" s="63"/>
      <c r="E26" s="63"/>
      <c r="F26" s="63"/>
      <c r="G26" s="63"/>
    </row>
    <row r="27" spans="1:7" ht="23">
      <c r="A27" s="63"/>
      <c r="B27" s="63"/>
      <c r="C27" s="63"/>
      <c r="D27" s="63"/>
      <c r="E27" s="63"/>
      <c r="F27" s="63"/>
      <c r="G27" s="63"/>
    </row>
    <row r="28" spans="1:7" ht="23">
      <c r="A28" s="62" t="s">
        <v>282</v>
      </c>
      <c r="B28" s="63"/>
      <c r="C28" s="63"/>
      <c r="D28" s="63"/>
      <c r="E28" s="63"/>
      <c r="F28" s="63"/>
      <c r="G28" s="63"/>
    </row>
    <row r="29" spans="1:7" ht="23">
      <c r="A29" s="63"/>
      <c r="B29" s="62">
        <v>2019</v>
      </c>
      <c r="C29" s="62">
        <v>2020</v>
      </c>
      <c r="D29" s="62">
        <v>2021</v>
      </c>
      <c r="E29" s="62">
        <v>2022</v>
      </c>
      <c r="F29" s="62">
        <v>2023</v>
      </c>
      <c r="G29" s="63"/>
    </row>
    <row r="30" spans="1:7" ht="23">
      <c r="A30" s="62" t="s">
        <v>67</v>
      </c>
      <c r="B30" s="64" t="s">
        <v>269</v>
      </c>
      <c r="C30" s="64" t="s">
        <v>269</v>
      </c>
      <c r="D30" s="64" t="s">
        <v>269</v>
      </c>
      <c r="E30" s="64" t="s">
        <v>269</v>
      </c>
      <c r="F30" s="64" t="s">
        <v>269</v>
      </c>
      <c r="G30" s="63"/>
    </row>
    <row r="31" spans="1:7" ht="23">
      <c r="A31" s="62" t="s">
        <v>95</v>
      </c>
      <c r="B31" s="63"/>
      <c r="C31" s="63"/>
      <c r="D31" s="63"/>
      <c r="E31" s="63"/>
      <c r="F31" s="63"/>
      <c r="G31" s="63"/>
    </row>
    <row r="32" spans="1:7" ht="23">
      <c r="A32" s="63" t="s">
        <v>283</v>
      </c>
      <c r="B32" s="69">
        <v>125217.8</v>
      </c>
      <c r="C32" s="69">
        <v>129337.2</v>
      </c>
      <c r="D32" s="69">
        <v>133833.70000000001</v>
      </c>
      <c r="E32" s="69">
        <v>148993</v>
      </c>
      <c r="F32" s="69">
        <v>221987.6</v>
      </c>
      <c r="G32" s="63"/>
    </row>
    <row r="33" spans="1:7" ht="23">
      <c r="A33" s="63" t="s">
        <v>284</v>
      </c>
      <c r="B33" s="69">
        <v>7385.4</v>
      </c>
      <c r="C33" s="69">
        <v>6026.2</v>
      </c>
      <c r="D33" s="69">
        <v>8475.5</v>
      </c>
      <c r="E33" s="69">
        <v>93647.2</v>
      </c>
      <c r="F33" s="69">
        <v>150198.79999999999</v>
      </c>
      <c r="G33" s="63"/>
    </row>
    <row r="34" spans="1:7" ht="23">
      <c r="A34" s="63" t="s">
        <v>285</v>
      </c>
      <c r="B34" s="69">
        <f>3553.1+56.8</f>
        <v>3609.9</v>
      </c>
      <c r="C34" s="69">
        <f>15242.9+3252.1</f>
        <v>18495</v>
      </c>
      <c r="D34" s="69">
        <f>14762.8+2845.6</f>
        <v>17608.399999999998</v>
      </c>
      <c r="E34" s="69">
        <f>18301.7+2564.3</f>
        <v>20866</v>
      </c>
      <c r="F34" s="69">
        <f>36885.5+2283</f>
        <v>39168.5</v>
      </c>
      <c r="G34" s="63"/>
    </row>
    <row r="35" spans="1:7" ht="23">
      <c r="A35" s="63" t="s">
        <v>286</v>
      </c>
      <c r="B35" s="69">
        <v>845</v>
      </c>
      <c r="C35" s="69">
        <v>845</v>
      </c>
      <c r="D35" s="69">
        <v>845</v>
      </c>
      <c r="E35" s="69">
        <v>845</v>
      </c>
      <c r="F35" s="69">
        <v>935</v>
      </c>
      <c r="G35" s="63"/>
    </row>
    <row r="36" spans="1:7" ht="23">
      <c r="A36" s="63" t="s">
        <v>287</v>
      </c>
      <c r="B36" s="69">
        <v>150.30000000000001</v>
      </c>
      <c r="C36" s="69">
        <v>4965.1000000000004</v>
      </c>
      <c r="D36" s="69">
        <v>4458.2</v>
      </c>
      <c r="E36" s="69">
        <v>3982.1</v>
      </c>
      <c r="F36" s="69">
        <v>3943.9</v>
      </c>
      <c r="G36" s="63"/>
    </row>
    <row r="37" spans="1:7" ht="23">
      <c r="A37" s="63" t="s">
        <v>288</v>
      </c>
      <c r="B37" s="69">
        <f>1845.5+895.5</f>
        <v>2741</v>
      </c>
      <c r="C37" s="69">
        <f>1911.7+836.1</f>
        <v>2747.8</v>
      </c>
      <c r="D37" s="69">
        <f>1982+558.7</f>
        <v>2540.6999999999998</v>
      </c>
      <c r="E37" s="69">
        <f>1759.9+407.9</f>
        <v>2167.8000000000002</v>
      </c>
      <c r="F37" s="69">
        <f>1481.4+278.2</f>
        <v>1759.6000000000001</v>
      </c>
      <c r="G37" s="63"/>
    </row>
    <row r="38" spans="1:7" ht="23">
      <c r="A38" s="63" t="s">
        <v>289</v>
      </c>
      <c r="B38" s="69">
        <v>964.5</v>
      </c>
      <c r="C38" s="69">
        <v>881.7</v>
      </c>
      <c r="D38" s="69">
        <v>1491.2</v>
      </c>
      <c r="E38" s="69">
        <v>1138.7</v>
      </c>
      <c r="F38" s="69">
        <f>1852.7+1588.4</f>
        <v>3441.1000000000004</v>
      </c>
      <c r="G38" s="63"/>
    </row>
    <row r="39" spans="1:7" ht="26">
      <c r="A39" s="63" t="s">
        <v>290</v>
      </c>
      <c r="B39" s="70">
        <v>1602.9</v>
      </c>
      <c r="C39" s="70">
        <v>1104.7</v>
      </c>
      <c r="D39" s="70">
        <v>5467.2</v>
      </c>
      <c r="E39" s="70">
        <v>9908.7999999999993</v>
      </c>
      <c r="F39" s="70">
        <v>15337</v>
      </c>
      <c r="G39" s="63"/>
    </row>
    <row r="40" spans="1:7" ht="26">
      <c r="A40" s="63"/>
      <c r="B40" s="70">
        <f t="shared" ref="B40:F40" si="4">SUM(B32:B39)</f>
        <v>142516.79999999999</v>
      </c>
      <c r="C40" s="70">
        <f t="shared" si="4"/>
        <v>164402.70000000001</v>
      </c>
      <c r="D40" s="70">
        <f t="shared" si="4"/>
        <v>174719.90000000005</v>
      </c>
      <c r="E40" s="70">
        <f t="shared" si="4"/>
        <v>281548.59999999998</v>
      </c>
      <c r="F40" s="70">
        <f t="shared" si="4"/>
        <v>436771.5</v>
      </c>
      <c r="G40" s="63"/>
    </row>
    <row r="41" spans="1:7" ht="23">
      <c r="A41" s="62" t="s">
        <v>31</v>
      </c>
      <c r="B41" s="69"/>
      <c r="C41" s="69"/>
      <c r="D41" s="69"/>
      <c r="E41" s="69"/>
      <c r="F41" s="69"/>
      <c r="G41" s="63"/>
    </row>
    <row r="42" spans="1:7" ht="23">
      <c r="A42" s="63" t="s">
        <v>291</v>
      </c>
      <c r="B42" s="69">
        <v>1774.6</v>
      </c>
      <c r="C42" s="69">
        <v>1859.4</v>
      </c>
      <c r="D42" s="69">
        <v>2487</v>
      </c>
      <c r="E42" s="69">
        <v>4306.8</v>
      </c>
      <c r="F42" s="69">
        <v>3655.6</v>
      </c>
      <c r="G42" s="63"/>
    </row>
    <row r="43" spans="1:7" ht="23">
      <c r="A43" s="63" t="s">
        <v>292</v>
      </c>
      <c r="B43" s="69">
        <v>18126.3</v>
      </c>
      <c r="C43" s="69">
        <v>17190.3</v>
      </c>
      <c r="D43" s="69">
        <f>22347.9+1287.8</f>
        <v>23635.7</v>
      </c>
      <c r="E43" s="69">
        <f>25919.2+1285</f>
        <v>27204.2</v>
      </c>
      <c r="F43" s="69">
        <v>40791.5</v>
      </c>
      <c r="G43" s="63"/>
    </row>
    <row r="44" spans="1:7" ht="23">
      <c r="A44" s="63" t="s">
        <v>289</v>
      </c>
      <c r="B44" s="69">
        <v>1984.6</v>
      </c>
      <c r="C44" s="69">
        <v>2563.8000000000002</v>
      </c>
      <c r="D44" s="69">
        <v>3043.4</v>
      </c>
      <c r="E44" s="69">
        <v>2951.5</v>
      </c>
      <c r="F44" s="69">
        <v>4395</v>
      </c>
      <c r="G44" s="63"/>
    </row>
    <row r="45" spans="1:7" ht="23">
      <c r="A45" s="63" t="s">
        <v>293</v>
      </c>
      <c r="B45" s="69">
        <v>0</v>
      </c>
      <c r="C45" s="69">
        <v>260.39999999999998</v>
      </c>
      <c r="D45" s="69">
        <v>7.2</v>
      </c>
      <c r="E45" s="69">
        <v>7.9</v>
      </c>
      <c r="F45" s="69">
        <v>851.6</v>
      </c>
      <c r="G45" s="63"/>
    </row>
    <row r="46" spans="1:7" ht="23">
      <c r="A46" s="63" t="s">
        <v>294</v>
      </c>
      <c r="B46" s="69">
        <v>8043</v>
      </c>
      <c r="C46" s="69">
        <v>188.6</v>
      </c>
      <c r="D46" s="69"/>
      <c r="E46" s="69"/>
      <c r="F46" s="69">
        <v>28.6</v>
      </c>
      <c r="G46" s="63"/>
    </row>
    <row r="47" spans="1:7" ht="26">
      <c r="A47" s="63" t="s">
        <v>97</v>
      </c>
      <c r="B47" s="70">
        <v>20030.099999999999</v>
      </c>
      <c r="C47" s="70">
        <v>26759.7</v>
      </c>
      <c r="D47" s="70">
        <v>26736.1</v>
      </c>
      <c r="E47" s="70">
        <v>30779.599999999999</v>
      </c>
      <c r="F47" s="70">
        <f>22098.1+615.1</f>
        <v>22713.199999999997</v>
      </c>
      <c r="G47" s="63"/>
    </row>
    <row r="48" spans="1:7" ht="26">
      <c r="A48" s="63"/>
      <c r="B48" s="70">
        <f>SUM(B42:B47)</f>
        <v>49958.599999999991</v>
      </c>
      <c r="C48" s="70">
        <f>SUM(C42:C47)</f>
        <v>48822.2</v>
      </c>
      <c r="D48" s="70">
        <f>SUM(D42:D47)</f>
        <v>55909.4</v>
      </c>
      <c r="E48" s="70">
        <f>SUM(E42:E47)</f>
        <v>65250</v>
      </c>
      <c r="F48" s="70">
        <f>SUM(F42:F47)</f>
        <v>72435.5</v>
      </c>
      <c r="G48" s="63"/>
    </row>
    <row r="49" spans="1:7" ht="26">
      <c r="A49" s="62" t="s">
        <v>295</v>
      </c>
      <c r="B49" s="71">
        <f>B40+B48</f>
        <v>192475.39999999997</v>
      </c>
      <c r="C49" s="71">
        <f>C40+C48</f>
        <v>213224.90000000002</v>
      </c>
      <c r="D49" s="71">
        <f>D40+D48</f>
        <v>230629.30000000005</v>
      </c>
      <c r="E49" s="71">
        <f>E40+E48</f>
        <v>346798.6</v>
      </c>
      <c r="F49" s="71">
        <f>F40+F48</f>
        <v>509207</v>
      </c>
      <c r="G49" s="63"/>
    </row>
    <row r="50" spans="1:7" ht="23">
      <c r="A50" s="63"/>
      <c r="B50" s="63"/>
      <c r="C50" s="63"/>
      <c r="D50" s="63"/>
      <c r="E50" s="63"/>
      <c r="F50" s="63"/>
      <c r="G50" s="63"/>
    </row>
    <row r="51" spans="1:7" ht="23">
      <c r="A51" s="62" t="s">
        <v>74</v>
      </c>
      <c r="B51" s="62"/>
      <c r="C51" s="62"/>
      <c r="D51" s="62"/>
      <c r="E51" s="62"/>
      <c r="F51" s="62"/>
      <c r="G51" s="63"/>
    </row>
    <row r="52" spans="1:7" ht="23">
      <c r="A52" s="62" t="s">
        <v>36</v>
      </c>
      <c r="B52" s="64"/>
      <c r="C52" s="64"/>
      <c r="D52" s="64"/>
      <c r="E52" s="64"/>
      <c r="F52" s="64"/>
      <c r="G52" s="63"/>
    </row>
    <row r="53" spans="1:7" ht="23">
      <c r="A53" s="63" t="s">
        <v>264</v>
      </c>
      <c r="B53" s="69">
        <v>2003.3</v>
      </c>
      <c r="C53" s="69">
        <v>2003.3</v>
      </c>
      <c r="D53" s="69">
        <v>2003</v>
      </c>
      <c r="E53" s="69">
        <v>2003</v>
      </c>
      <c r="F53" s="69">
        <v>2003.3</v>
      </c>
      <c r="G53" s="63"/>
    </row>
    <row r="54" spans="1:7" ht="23">
      <c r="A54" s="63" t="s">
        <v>296</v>
      </c>
      <c r="B54" s="69">
        <v>2200</v>
      </c>
      <c r="C54" s="69">
        <v>2200</v>
      </c>
      <c r="D54" s="69">
        <v>2200</v>
      </c>
      <c r="E54" s="69">
        <v>2200</v>
      </c>
      <c r="F54" s="69">
        <v>2200</v>
      </c>
      <c r="G54" s="63"/>
    </row>
    <row r="55" spans="1:7" ht="23">
      <c r="A55" s="63" t="s">
        <v>297</v>
      </c>
      <c r="B55" s="69">
        <v>0</v>
      </c>
      <c r="C55" s="69">
        <v>0</v>
      </c>
      <c r="D55" s="69">
        <v>0</v>
      </c>
      <c r="E55" s="69">
        <v>-5312.7</v>
      </c>
      <c r="F55" s="69">
        <v>36688.400000000001</v>
      </c>
      <c r="G55" s="63"/>
    </row>
    <row r="56" spans="1:7" ht="26">
      <c r="A56" s="63" t="s">
        <v>298</v>
      </c>
      <c r="B56" s="70">
        <f>65218.9+74922.4</f>
        <v>140141.29999999999</v>
      </c>
      <c r="C56" s="70">
        <f>82785.2+56091.6</f>
        <v>138876.79999999999</v>
      </c>
      <c r="D56" s="70">
        <f>96571.8+36860.2</f>
        <v>133432</v>
      </c>
      <c r="E56" s="70">
        <f>110528.9+30049.1</f>
        <v>140578</v>
      </c>
      <c r="F56" s="70">
        <f>121823.6+24840.6</f>
        <v>146664.20000000001</v>
      </c>
      <c r="G56" s="63"/>
    </row>
    <row r="57" spans="1:7" ht="23">
      <c r="A57" s="63" t="s">
        <v>299</v>
      </c>
      <c r="B57" s="69">
        <f t="shared" ref="B57:C57" si="5">SUM(B53:B56)</f>
        <v>144344.59999999998</v>
      </c>
      <c r="C57" s="69">
        <f t="shared" si="5"/>
        <v>143080.09999999998</v>
      </c>
      <c r="D57" s="69">
        <f>SUM(D53:D56)</f>
        <v>137635</v>
      </c>
      <c r="E57" s="69">
        <f>SUM(E53:E56)</f>
        <v>139468.29999999999</v>
      </c>
      <c r="F57" s="69">
        <f>SUM(F53:F56)</f>
        <v>187555.90000000002</v>
      </c>
      <c r="G57" s="63"/>
    </row>
    <row r="58" spans="1:7" ht="26">
      <c r="A58" s="63" t="s">
        <v>300</v>
      </c>
      <c r="B58" s="70">
        <v>0</v>
      </c>
      <c r="C58" s="70">
        <v>0</v>
      </c>
      <c r="D58" s="70">
        <v>0</v>
      </c>
      <c r="E58" s="70">
        <v>40232.300000000003</v>
      </c>
      <c r="F58" s="70">
        <v>75810</v>
      </c>
      <c r="G58" s="63"/>
    </row>
    <row r="59" spans="1:7" ht="26">
      <c r="A59" s="63" t="s">
        <v>301</v>
      </c>
      <c r="B59" s="70">
        <f>SUM(B53:B56)</f>
        <v>144344.59999999998</v>
      </c>
      <c r="C59" s="70">
        <f>SUM(C53:C56)</f>
        <v>143080.09999999998</v>
      </c>
      <c r="D59" s="70">
        <f>D57+D58</f>
        <v>137635</v>
      </c>
      <c r="E59" s="70">
        <f>E57+E58</f>
        <v>179700.59999999998</v>
      </c>
      <c r="F59" s="70">
        <f>F57+F58</f>
        <v>263365.90000000002</v>
      </c>
      <c r="G59" s="63"/>
    </row>
    <row r="60" spans="1:7" ht="26">
      <c r="A60" s="63"/>
      <c r="B60" s="70"/>
      <c r="C60" s="70"/>
      <c r="D60" s="70"/>
      <c r="E60" s="70"/>
      <c r="F60" s="70"/>
      <c r="G60" s="63"/>
    </row>
    <row r="61" spans="1:7" ht="23">
      <c r="A61" s="62" t="s">
        <v>154</v>
      </c>
      <c r="B61" s="69"/>
      <c r="C61" s="69"/>
      <c r="D61" s="69"/>
      <c r="E61" s="69"/>
      <c r="F61" s="69"/>
      <c r="G61" s="63"/>
    </row>
    <row r="62" spans="1:7" ht="23">
      <c r="A62" s="62" t="s">
        <v>39</v>
      </c>
      <c r="B62" s="69"/>
      <c r="C62" s="69"/>
      <c r="D62" s="69"/>
      <c r="E62" s="69"/>
      <c r="F62" s="69"/>
      <c r="G62" s="63"/>
    </row>
    <row r="63" spans="1:7" ht="23">
      <c r="A63" s="63" t="s">
        <v>302</v>
      </c>
      <c r="B63" s="69">
        <v>0</v>
      </c>
      <c r="C63" s="69">
        <v>0</v>
      </c>
      <c r="D63" s="69">
        <v>0</v>
      </c>
      <c r="E63" s="69">
        <v>44910.8</v>
      </c>
      <c r="F63" s="69">
        <v>42050</v>
      </c>
      <c r="G63" s="63"/>
    </row>
    <row r="64" spans="1:7" ht="23">
      <c r="A64" s="63" t="s">
        <v>303</v>
      </c>
      <c r="B64" s="69">
        <v>1131</v>
      </c>
      <c r="C64" s="69">
        <v>985.4</v>
      </c>
      <c r="D64" s="69">
        <v>0</v>
      </c>
      <c r="E64" s="69">
        <v>4330.6000000000004</v>
      </c>
      <c r="F64" s="69">
        <v>27359.3</v>
      </c>
      <c r="G64" s="63"/>
    </row>
    <row r="65" spans="1:7" ht="23">
      <c r="A65" s="63" t="s">
        <v>304</v>
      </c>
      <c r="B65" s="69">
        <v>0</v>
      </c>
      <c r="C65" s="69">
        <v>0</v>
      </c>
      <c r="D65" s="69">
        <v>3151.4</v>
      </c>
      <c r="E65" s="69">
        <v>3183.3</v>
      </c>
      <c r="F65" s="69">
        <v>4462.8</v>
      </c>
      <c r="G65" s="63"/>
    </row>
    <row r="66" spans="1:7" ht="23">
      <c r="A66" s="63" t="s">
        <v>305</v>
      </c>
      <c r="B66" s="69">
        <v>739.5</v>
      </c>
      <c r="C66" s="69">
        <v>983.4</v>
      </c>
      <c r="D66" s="69">
        <v>2436.1</v>
      </c>
      <c r="E66" s="69">
        <v>1937.5</v>
      </c>
      <c r="F66" s="69">
        <v>1607.8</v>
      </c>
      <c r="G66" s="63"/>
    </row>
    <row r="67" spans="1:7" ht="26">
      <c r="A67" s="63" t="s">
        <v>306</v>
      </c>
      <c r="B67" s="70">
        <v>0</v>
      </c>
      <c r="C67" s="70">
        <v>11675.3</v>
      </c>
      <c r="D67" s="70">
        <v>11954.2</v>
      </c>
      <c r="E67" s="70">
        <v>14584.9</v>
      </c>
      <c r="F67" s="70">
        <v>29984</v>
      </c>
      <c r="G67" s="63"/>
    </row>
    <row r="68" spans="1:7" ht="26">
      <c r="A68" s="63"/>
      <c r="B68" s="70">
        <f>SUM(B64:B67)</f>
        <v>1870.5</v>
      </c>
      <c r="C68" s="70">
        <f>SUM(C64:C67)</f>
        <v>13644.099999999999</v>
      </c>
      <c r="D68" s="70">
        <f>SUM(D63:D67)</f>
        <v>17541.7</v>
      </c>
      <c r="E68" s="70">
        <f>SUM(E63:E67)</f>
        <v>68947.100000000006</v>
      </c>
      <c r="F68" s="70">
        <f>SUM(F63:F67)</f>
        <v>105463.90000000001</v>
      </c>
      <c r="G68" s="63"/>
    </row>
    <row r="69" spans="1:7" ht="23">
      <c r="A69" s="62" t="s">
        <v>40</v>
      </c>
      <c r="B69" s="69"/>
      <c r="C69" s="69"/>
      <c r="D69" s="69"/>
      <c r="E69" s="69"/>
      <c r="F69" s="69"/>
      <c r="G69" s="63"/>
    </row>
    <row r="70" spans="1:7" ht="23">
      <c r="A70" s="63" t="s">
        <v>307</v>
      </c>
      <c r="B70" s="69">
        <v>28703.9</v>
      </c>
      <c r="C70" s="69">
        <v>29920.1</v>
      </c>
      <c r="D70" s="69">
        <v>34021.4</v>
      </c>
      <c r="E70" s="69">
        <v>41312.6</v>
      </c>
      <c r="F70" s="69">
        <v>72688.2</v>
      </c>
      <c r="G70" s="63"/>
    </row>
    <row r="71" spans="1:7" ht="23">
      <c r="A71" s="63" t="s">
        <v>302</v>
      </c>
      <c r="B71" s="69">
        <v>4032</v>
      </c>
      <c r="C71" s="69">
        <v>8000</v>
      </c>
      <c r="D71" s="69">
        <v>14772</v>
      </c>
      <c r="E71" s="69">
        <v>20400</v>
      </c>
      <c r="F71" s="69">
        <v>43492.3</v>
      </c>
      <c r="G71" s="63"/>
    </row>
    <row r="72" spans="1:7" ht="23">
      <c r="A72" s="63" t="s">
        <v>308</v>
      </c>
      <c r="B72" s="69">
        <v>0</v>
      </c>
      <c r="C72" s="69">
        <v>1045.0999999999999</v>
      </c>
      <c r="D72" s="69">
        <v>8684.1</v>
      </c>
      <c r="E72" s="69">
        <v>12053.9</v>
      </c>
      <c r="F72" s="69">
        <v>1783</v>
      </c>
      <c r="G72" s="63"/>
    </row>
    <row r="73" spans="1:7" ht="23">
      <c r="A73" s="63" t="s">
        <v>304</v>
      </c>
      <c r="B73" s="69">
        <v>3893.5</v>
      </c>
      <c r="C73" s="69">
        <v>4462.3</v>
      </c>
      <c r="D73" s="69">
        <v>2561.5</v>
      </c>
      <c r="E73" s="69">
        <v>3373.8</v>
      </c>
      <c r="F73" s="69">
        <v>4524.1000000000004</v>
      </c>
      <c r="G73" s="63"/>
    </row>
    <row r="74" spans="1:7" ht="23">
      <c r="A74" s="63" t="s">
        <v>305</v>
      </c>
      <c r="B74" s="69">
        <v>9279.6</v>
      </c>
      <c r="C74" s="69">
        <v>9410.9</v>
      </c>
      <c r="D74" s="69">
        <v>11033.5</v>
      </c>
      <c r="E74" s="69">
        <v>10210.6</v>
      </c>
      <c r="F74" s="69">
        <v>10125.9</v>
      </c>
      <c r="G74" s="63"/>
    </row>
    <row r="75" spans="1:7" ht="23">
      <c r="A75" s="63" t="s">
        <v>306</v>
      </c>
      <c r="B75" s="69">
        <v>0</v>
      </c>
      <c r="C75" s="69">
        <v>3549.4</v>
      </c>
      <c r="D75" s="69">
        <v>4119.5</v>
      </c>
      <c r="E75" s="69">
        <v>5508.5</v>
      </c>
      <c r="F75" s="69">
        <v>5354.9</v>
      </c>
      <c r="G75" s="63"/>
    </row>
    <row r="76" spans="1:7" ht="26">
      <c r="A76" s="63" t="s">
        <v>309</v>
      </c>
      <c r="B76" s="70">
        <v>351.3</v>
      </c>
      <c r="C76" s="70">
        <v>112.9</v>
      </c>
      <c r="D76" s="70">
        <v>260.3</v>
      </c>
      <c r="E76" s="70">
        <v>5291.2</v>
      </c>
      <c r="F76" s="70">
        <v>2408.8000000000002</v>
      </c>
      <c r="G76" s="63"/>
    </row>
    <row r="77" spans="1:7" ht="26">
      <c r="A77" s="63"/>
      <c r="B77" s="70">
        <f t="shared" ref="B77:F77" si="6">SUM(B70:B76)</f>
        <v>46260.3</v>
      </c>
      <c r="C77" s="70">
        <f t="shared" si="6"/>
        <v>56500.700000000004</v>
      </c>
      <c r="D77" s="70">
        <f t="shared" si="6"/>
        <v>75452.3</v>
      </c>
      <c r="E77" s="70">
        <f t="shared" si="6"/>
        <v>98150.6</v>
      </c>
      <c r="F77" s="70">
        <f t="shared" si="6"/>
        <v>140377.19999999998</v>
      </c>
      <c r="G77" s="63"/>
    </row>
    <row r="78" spans="1:7" ht="26">
      <c r="A78" s="62" t="s">
        <v>310</v>
      </c>
      <c r="B78" s="70">
        <f t="shared" ref="B78:F78" si="7">B68+B77</f>
        <v>48130.8</v>
      </c>
      <c r="C78" s="70">
        <f t="shared" si="7"/>
        <v>70144.800000000003</v>
      </c>
      <c r="D78" s="70">
        <f t="shared" si="7"/>
        <v>92994</v>
      </c>
      <c r="E78" s="70">
        <f t="shared" si="7"/>
        <v>167097.70000000001</v>
      </c>
      <c r="F78" s="70">
        <f t="shared" si="7"/>
        <v>245841.09999999998</v>
      </c>
      <c r="G78" s="63"/>
    </row>
    <row r="79" spans="1:7" ht="26">
      <c r="A79" s="62" t="s">
        <v>311</v>
      </c>
      <c r="B79" s="71">
        <f t="shared" ref="B79:F79" si="8">B59+B78</f>
        <v>192475.39999999997</v>
      </c>
      <c r="C79" s="71">
        <f t="shared" si="8"/>
        <v>213224.89999999997</v>
      </c>
      <c r="D79" s="71">
        <f t="shared" si="8"/>
        <v>230629</v>
      </c>
      <c r="E79" s="71">
        <f t="shared" si="8"/>
        <v>346798.3</v>
      </c>
      <c r="F79" s="71">
        <f t="shared" si="8"/>
        <v>509207</v>
      </c>
      <c r="G79" s="63"/>
    </row>
    <row r="80" spans="1:7" ht="19.5">
      <c r="A80" s="34"/>
      <c r="B80" s="72"/>
      <c r="C80" s="72"/>
      <c r="D80" s="72"/>
      <c r="E80" s="72"/>
      <c r="G80" s="36"/>
    </row>
    <row r="81" spans="1:7" ht="19.5">
      <c r="A81" s="34"/>
      <c r="B81" s="72"/>
      <c r="C81" s="72"/>
      <c r="D81" s="72"/>
      <c r="E81" s="72"/>
      <c r="G81" s="36"/>
    </row>
    <row r="82" spans="1:7" ht="22.5">
      <c r="A82" s="34"/>
      <c r="B82" s="73"/>
      <c r="C82" s="73"/>
      <c r="D82" s="73"/>
      <c r="E82" s="73"/>
      <c r="F82" s="61" t="s">
        <v>312</v>
      </c>
      <c r="G82" s="36"/>
    </row>
    <row r="83" spans="1:7" ht="22.5">
      <c r="A83" s="34"/>
      <c r="B83" s="73"/>
      <c r="C83" s="73"/>
      <c r="D83" s="73"/>
      <c r="E83" s="73"/>
      <c r="F83" s="61" t="s">
        <v>313</v>
      </c>
      <c r="G83" s="36"/>
    </row>
    <row r="84" spans="1:7" ht="20">
      <c r="A84" s="34"/>
      <c r="B84" s="73"/>
      <c r="C84" s="73"/>
      <c r="D84" s="73"/>
      <c r="E84" s="73"/>
      <c r="F84" s="74"/>
      <c r="G84" s="36"/>
    </row>
    <row r="85" spans="1:7" ht="20">
      <c r="A85" s="34"/>
      <c r="B85" s="73"/>
      <c r="C85" s="73"/>
      <c r="D85" s="73"/>
      <c r="E85" s="73"/>
      <c r="F85" s="74"/>
      <c r="G85" s="36"/>
    </row>
    <row r="86" spans="1:7" ht="23">
      <c r="A86" s="63"/>
      <c r="B86" s="62">
        <v>2019</v>
      </c>
      <c r="C86" s="62">
        <v>2020</v>
      </c>
      <c r="D86" s="62">
        <v>2021</v>
      </c>
      <c r="E86" s="62">
        <v>2022</v>
      </c>
      <c r="F86" s="62">
        <v>2023</v>
      </c>
      <c r="G86" s="36"/>
    </row>
    <row r="87" spans="1:7" ht="23">
      <c r="A87" s="63" t="s">
        <v>314</v>
      </c>
      <c r="B87" s="75">
        <v>99811.6</v>
      </c>
      <c r="C87" s="75">
        <v>110362.6</v>
      </c>
      <c r="D87" s="75">
        <v>105197.3</v>
      </c>
      <c r="E87" s="75">
        <v>110700.5</v>
      </c>
      <c r="F87" s="75">
        <v>115151.1</v>
      </c>
      <c r="G87" s="36"/>
    </row>
    <row r="88" spans="1:7" ht="23">
      <c r="A88" s="63" t="s">
        <v>315</v>
      </c>
      <c r="B88" s="76">
        <v>40065</v>
      </c>
      <c r="C88" s="76">
        <v>40065</v>
      </c>
      <c r="D88" s="76">
        <v>40065</v>
      </c>
      <c r="E88" s="76">
        <v>40065</v>
      </c>
      <c r="F88" s="76">
        <v>40065</v>
      </c>
      <c r="G88" s="36"/>
    </row>
    <row r="89" spans="1:7" ht="23">
      <c r="A89" s="63" t="s">
        <v>316</v>
      </c>
      <c r="B89" s="77">
        <v>28</v>
      </c>
      <c r="C89" s="77">
        <v>27</v>
      </c>
      <c r="D89" s="77">
        <v>37</v>
      </c>
      <c r="E89" s="77">
        <v>35</v>
      </c>
      <c r="F89" s="77">
        <v>18.100000000000001</v>
      </c>
      <c r="G89" s="36"/>
    </row>
    <row r="90" spans="1:7" ht="23">
      <c r="A90" s="63" t="s">
        <v>317</v>
      </c>
      <c r="B90" s="77">
        <v>44071</v>
      </c>
      <c r="C90" s="77">
        <v>73877.3</v>
      </c>
      <c r="D90" s="77">
        <v>66482</v>
      </c>
      <c r="E90" s="77">
        <v>59132.3</v>
      </c>
      <c r="F90" s="77">
        <v>63557.7</v>
      </c>
      <c r="G90" s="36"/>
    </row>
    <row r="91" spans="1:7" ht="23">
      <c r="A91" s="63"/>
      <c r="B91" s="63"/>
      <c r="C91" s="63"/>
      <c r="D91" s="63"/>
      <c r="E91" s="77"/>
      <c r="F91" s="77"/>
      <c r="G91" s="36"/>
    </row>
    <row r="92" spans="1:7" ht="23">
      <c r="A92" s="63"/>
      <c r="B92" s="63"/>
      <c r="C92" s="63"/>
      <c r="D92" s="63"/>
      <c r="E92" s="63"/>
      <c r="F92" s="63"/>
      <c r="G92" s="36"/>
    </row>
    <row r="93" spans="1:7" ht="22.5">
      <c r="A93" s="62" t="s">
        <v>318</v>
      </c>
      <c r="B93" s="62">
        <v>2019</v>
      </c>
      <c r="C93" s="62">
        <v>2020</v>
      </c>
      <c r="D93" s="62">
        <v>2021</v>
      </c>
      <c r="E93" s="62">
        <v>2022</v>
      </c>
      <c r="F93" s="62">
        <v>2023</v>
      </c>
      <c r="G93" s="36"/>
    </row>
    <row r="94" spans="1:7" ht="23">
      <c r="A94" s="63" t="s">
        <v>319</v>
      </c>
      <c r="B94" s="77">
        <v>1.3003381211313241</v>
      </c>
      <c r="C94" s="77">
        <v>1.231355718773933</v>
      </c>
      <c r="D94" s="77">
        <v>1.1448090073550929</v>
      </c>
      <c r="E94" s="77">
        <v>0.85951298534653842</v>
      </c>
      <c r="F94" s="77">
        <v>0.61056701891372267</v>
      </c>
      <c r="G94" s="36"/>
    </row>
    <row r="95" spans="1:7" ht="23">
      <c r="A95" s="63" t="s">
        <v>320</v>
      </c>
      <c r="B95" s="78">
        <v>0.50272437586330898</v>
      </c>
      <c r="C95" s="78">
        <v>0.53359243415929269</v>
      </c>
      <c r="D95" s="78">
        <v>0.51201528078897052</v>
      </c>
      <c r="E95" s="78">
        <v>0.45280584777196586</v>
      </c>
      <c r="F95" s="78">
        <v>0.37524077132622635</v>
      </c>
      <c r="G95" s="36"/>
    </row>
    <row r="96" spans="1:7" ht="23">
      <c r="A96" s="63" t="s">
        <v>321</v>
      </c>
      <c r="B96" s="79">
        <v>0.32466746399799679</v>
      </c>
      <c r="C96" s="79">
        <v>0.3454469904781291</v>
      </c>
      <c r="D96" s="79">
        <v>0.29777781631971695</v>
      </c>
      <c r="E96" s="79">
        <v>0.19462638657686618</v>
      </c>
      <c r="F96" s="79">
        <v>0.10306672924763406</v>
      </c>
      <c r="G96" s="36"/>
    </row>
    <row r="97" spans="1:7" ht="23">
      <c r="A97" s="63" t="s">
        <v>322</v>
      </c>
      <c r="B97" s="79">
        <v>0.43292579008844129</v>
      </c>
      <c r="C97" s="79">
        <v>0.51480184875464885</v>
      </c>
      <c r="D97" s="79">
        <v>0.4989733715987939</v>
      </c>
      <c r="E97" s="79">
        <v>0.37560308646715712</v>
      </c>
      <c r="F97" s="79">
        <v>0.1992752288735937</v>
      </c>
      <c r="G97" s="36"/>
    </row>
    <row r="98" spans="1:7" ht="23">
      <c r="A98" s="63" t="s">
        <v>323</v>
      </c>
      <c r="B98" s="77">
        <v>1.0799454391778693</v>
      </c>
      <c r="C98" s="77">
        <v>0.86409902886158918</v>
      </c>
      <c r="D98" s="77">
        <v>0.74099000295550965</v>
      </c>
      <c r="E98" s="77">
        <v>0.66479471343017771</v>
      </c>
      <c r="F98" s="77">
        <v>0.51600616054458992</v>
      </c>
      <c r="G98" s="36"/>
    </row>
    <row r="99" spans="1:7" ht="23">
      <c r="A99" s="63" t="s">
        <v>324</v>
      </c>
      <c r="B99" s="79">
        <v>0.25006208585616663</v>
      </c>
      <c r="C99" s="79">
        <v>0.328970959770646</v>
      </c>
      <c r="D99" s="79">
        <v>0.40321902275949684</v>
      </c>
      <c r="E99" s="79">
        <v>0.48182963988001098</v>
      </c>
      <c r="F99" s="79">
        <v>0.48279206688046311</v>
      </c>
      <c r="G99" s="36"/>
    </row>
    <row r="100" spans="1:7" ht="23">
      <c r="A100" s="63" t="s">
        <v>325</v>
      </c>
      <c r="B100" s="77">
        <v>1.5597279420940975</v>
      </c>
      <c r="C100" s="77">
        <v>1.8384600024959448</v>
      </c>
      <c r="D100" s="77">
        <v>1.7141195557219517</v>
      </c>
      <c r="E100" s="77">
        <v>1.6846649195058032</v>
      </c>
      <c r="F100" s="77">
        <v>1.3099288655934107</v>
      </c>
      <c r="G100" s="36"/>
    </row>
    <row r="101" spans="1:7" ht="23">
      <c r="A101" s="63" t="s">
        <v>326</v>
      </c>
      <c r="B101" s="77">
        <v>1.0999875202795457</v>
      </c>
      <c r="C101" s="77">
        <v>1.8439361038312743</v>
      </c>
      <c r="D101" s="77">
        <v>1.6593535504804693</v>
      </c>
      <c r="E101" s="77">
        <v>1.475909147635093</v>
      </c>
      <c r="F101" s="77">
        <v>1.5863646574316734</v>
      </c>
      <c r="G101" s="36"/>
    </row>
    <row r="102" spans="1:7" ht="23">
      <c r="A102" s="63" t="s">
        <v>327</v>
      </c>
      <c r="B102" s="77">
        <v>3.6027605141644821</v>
      </c>
      <c r="C102" s="77">
        <v>3.5711993011356538</v>
      </c>
      <c r="D102" s="77">
        <v>3.4352926494446523</v>
      </c>
      <c r="E102" s="77">
        <v>3.4810507924622485</v>
      </c>
      <c r="F102" s="77">
        <v>4.6812904030949714</v>
      </c>
      <c r="G102" s="36"/>
    </row>
    <row r="103" spans="1:7" ht="23">
      <c r="A103" s="63"/>
      <c r="B103" s="63"/>
      <c r="C103" s="63"/>
      <c r="D103" s="63"/>
      <c r="E103" s="63"/>
      <c r="F103" s="63"/>
      <c r="G103" s="36"/>
    </row>
    <row r="104" spans="1:7" ht="23">
      <c r="A104" s="62" t="s">
        <v>47</v>
      </c>
      <c r="B104" s="63"/>
      <c r="C104" s="63"/>
      <c r="D104" s="63"/>
      <c r="E104" s="63"/>
      <c r="F104" s="63"/>
      <c r="G104" s="36"/>
    </row>
    <row r="105" spans="1:7" ht="23">
      <c r="A105" s="63" t="s">
        <v>328</v>
      </c>
      <c r="B105" s="63"/>
      <c r="C105" s="63"/>
      <c r="D105" s="63"/>
      <c r="E105" s="63"/>
      <c r="F105" s="63"/>
      <c r="G105" s="36"/>
    </row>
    <row r="106" spans="1:7" ht="23">
      <c r="A106" s="63"/>
      <c r="B106" s="63"/>
      <c r="C106" s="63"/>
      <c r="D106" s="63"/>
      <c r="E106" s="63"/>
      <c r="F106" s="63"/>
      <c r="G106" s="36"/>
    </row>
    <row r="107" spans="1:7" ht="23">
      <c r="A107" s="63" t="s">
        <v>329</v>
      </c>
      <c r="B107" s="63"/>
      <c r="C107" s="63"/>
      <c r="D107" s="63"/>
      <c r="E107" s="63"/>
      <c r="F107" s="63"/>
      <c r="G107" s="36"/>
    </row>
    <row r="108" spans="1:7" ht="23">
      <c r="A108" s="63"/>
      <c r="B108" s="63"/>
      <c r="C108" s="63"/>
      <c r="D108" s="63"/>
      <c r="E108" s="63"/>
      <c r="F108" s="63"/>
      <c r="G108" s="36"/>
    </row>
    <row r="109" spans="1:7" ht="23">
      <c r="A109" s="63" t="s">
        <v>330</v>
      </c>
      <c r="B109" s="63"/>
      <c r="C109" s="63"/>
      <c r="D109" s="63"/>
      <c r="E109" s="63"/>
      <c r="F109" s="64" t="s">
        <v>331</v>
      </c>
      <c r="G109" s="36"/>
    </row>
    <row r="110" spans="1:7" ht="23">
      <c r="A110" s="63"/>
      <c r="B110" s="63"/>
      <c r="C110" s="63"/>
      <c r="D110" s="63"/>
      <c r="E110" s="63"/>
      <c r="F110" s="64"/>
      <c r="G110" s="36"/>
    </row>
    <row r="111" spans="1:7" ht="23">
      <c r="A111" s="63" t="s">
        <v>332</v>
      </c>
      <c r="B111" s="63"/>
      <c r="C111" s="63"/>
      <c r="D111" s="63"/>
      <c r="E111" s="63"/>
      <c r="F111" s="64" t="s">
        <v>331</v>
      </c>
      <c r="G111" s="36"/>
    </row>
    <row r="112" spans="1:7" ht="23">
      <c r="A112" s="63"/>
      <c r="B112" s="63"/>
      <c r="C112" s="63"/>
      <c r="D112" s="63"/>
      <c r="E112" s="63"/>
      <c r="F112" s="64"/>
      <c r="G112" s="36"/>
    </row>
    <row r="113" spans="1:7" ht="23">
      <c r="A113" s="63" t="s">
        <v>333</v>
      </c>
      <c r="B113" s="63"/>
      <c r="C113" s="63"/>
      <c r="D113" s="63"/>
      <c r="E113" s="63"/>
      <c r="F113" s="64" t="s">
        <v>331</v>
      </c>
      <c r="G113" s="36"/>
    </row>
    <row r="114" spans="1:7" ht="23">
      <c r="A114" s="63"/>
      <c r="B114" s="63"/>
      <c r="C114" s="63"/>
      <c r="D114" s="63"/>
      <c r="E114" s="63"/>
      <c r="F114" s="64"/>
      <c r="G114" s="36"/>
    </row>
    <row r="115" spans="1:7" ht="23">
      <c r="A115" s="63" t="s">
        <v>334</v>
      </c>
      <c r="B115" s="63"/>
      <c r="C115" s="63"/>
      <c r="D115" s="63"/>
      <c r="E115" s="63"/>
      <c r="F115" s="64" t="s">
        <v>331</v>
      </c>
      <c r="G115" s="36"/>
    </row>
    <row r="116" spans="1:7" ht="23">
      <c r="A116" s="63"/>
      <c r="B116" s="63"/>
      <c r="C116" s="63"/>
      <c r="D116" s="63"/>
      <c r="E116" s="63"/>
      <c r="F116" s="64"/>
      <c r="G116" s="36"/>
    </row>
    <row r="117" spans="1:7" ht="23">
      <c r="A117" s="63" t="s">
        <v>335</v>
      </c>
      <c r="B117" s="63"/>
      <c r="C117" s="63"/>
      <c r="D117" s="63"/>
      <c r="E117" s="63"/>
      <c r="F117" s="64" t="s">
        <v>331</v>
      </c>
      <c r="G117" s="36"/>
    </row>
    <row r="118" spans="1:7" ht="23">
      <c r="A118" s="63"/>
      <c r="B118" s="63"/>
      <c r="C118" s="63"/>
      <c r="D118" s="63"/>
      <c r="E118" s="63"/>
      <c r="F118" s="64"/>
      <c r="G118" s="36"/>
    </row>
    <row r="119" spans="1:7" ht="23">
      <c r="A119" s="63" t="s">
        <v>336</v>
      </c>
      <c r="B119" s="63"/>
      <c r="C119" s="63"/>
      <c r="D119" s="63"/>
      <c r="E119" s="63"/>
      <c r="F119" s="64" t="s">
        <v>331</v>
      </c>
      <c r="G119" s="36"/>
    </row>
    <row r="120" spans="1:7" ht="23">
      <c r="A120" s="63"/>
      <c r="B120" s="63"/>
      <c r="C120" s="63"/>
      <c r="D120" s="63"/>
      <c r="E120" s="63"/>
      <c r="F120" s="64"/>
      <c r="G120" s="36"/>
    </row>
    <row r="121" spans="1:7" ht="23">
      <c r="A121" s="63" t="s">
        <v>337</v>
      </c>
      <c r="B121" s="63"/>
      <c r="C121" s="63"/>
      <c r="D121" s="63"/>
      <c r="E121" s="63"/>
      <c r="F121" s="64" t="s">
        <v>331</v>
      </c>
      <c r="G121" s="36"/>
    </row>
    <row r="122" spans="1:7" ht="23">
      <c r="A122" s="63"/>
      <c r="B122" s="63"/>
      <c r="C122" s="63"/>
      <c r="D122" s="63"/>
      <c r="E122" s="63"/>
      <c r="F122" s="64"/>
      <c r="G122" s="36"/>
    </row>
    <row r="123" spans="1:7" ht="23">
      <c r="A123" s="63" t="s">
        <v>338</v>
      </c>
      <c r="B123" s="63"/>
      <c r="C123" s="63"/>
      <c r="D123" s="63"/>
      <c r="E123" s="63"/>
      <c r="F123" s="64" t="s">
        <v>331</v>
      </c>
      <c r="G123" s="36"/>
    </row>
    <row r="124" spans="1:7" ht="23">
      <c r="A124" s="63"/>
      <c r="B124" s="63"/>
      <c r="C124" s="63"/>
      <c r="D124" s="63"/>
      <c r="E124" s="63"/>
      <c r="F124" s="64"/>
      <c r="G124" s="36"/>
    </row>
    <row r="125" spans="1:7" ht="23">
      <c r="A125" s="63" t="s">
        <v>339</v>
      </c>
      <c r="B125" s="63"/>
      <c r="C125" s="63"/>
      <c r="D125" s="63"/>
      <c r="E125" s="63"/>
      <c r="F125" s="64" t="s">
        <v>331</v>
      </c>
      <c r="G125" s="36"/>
    </row>
    <row r="126" spans="1:7" ht="23">
      <c r="A126" s="63"/>
      <c r="B126" s="63"/>
      <c r="C126" s="63"/>
      <c r="D126" s="63"/>
      <c r="E126" s="63"/>
      <c r="F126" s="64"/>
      <c r="G126" s="36"/>
    </row>
    <row r="127" spans="1:7" ht="23">
      <c r="A127" s="63" t="s">
        <v>340</v>
      </c>
      <c r="B127" s="63"/>
      <c r="C127" s="63"/>
      <c r="D127" s="63"/>
      <c r="E127" s="63"/>
      <c r="F127" s="64" t="s">
        <v>331</v>
      </c>
      <c r="G127" s="36"/>
    </row>
    <row r="128" spans="1:7" ht="23">
      <c r="A128" s="63"/>
      <c r="B128" s="63"/>
      <c r="C128" s="63"/>
      <c r="D128" s="63"/>
      <c r="E128" s="213" t="s">
        <v>50</v>
      </c>
      <c r="F128" s="213"/>
      <c r="G128" s="36"/>
    </row>
    <row r="129" spans="1:7" ht="18">
      <c r="A129" s="36"/>
      <c r="B129" s="36"/>
      <c r="C129" s="36"/>
      <c r="D129" s="36"/>
      <c r="G129" s="36"/>
    </row>
    <row r="130" spans="1:7" ht="18">
      <c r="A130" s="36"/>
      <c r="B130" s="36"/>
      <c r="C130" s="36"/>
      <c r="D130" s="36"/>
      <c r="F130" s="36"/>
      <c r="G130" s="36"/>
    </row>
    <row r="142" spans="1:7" ht="22.5">
      <c r="F142" s="61" t="s">
        <v>341</v>
      </c>
    </row>
    <row r="143" spans="1:7" ht="22.5">
      <c r="F143" s="61" t="s">
        <v>313</v>
      </c>
    </row>
  </sheetData>
  <mergeCells count="2">
    <mergeCell ref="A3:J3"/>
    <mergeCell ref="E128:F12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CF39-1D85-476A-A411-EC3EFB6770DB}">
  <dimension ref="A1:W104"/>
  <sheetViews>
    <sheetView view="pageBreakPreview" topLeftCell="A30" zoomScale="60" zoomScaleNormal="100" workbookViewId="0">
      <selection activeCell="E17" sqref="E17"/>
    </sheetView>
  </sheetViews>
  <sheetFormatPr defaultColWidth="9.1796875" defaultRowHeight="15.5"/>
  <cols>
    <col min="1" max="1" width="19.81640625" style="40" customWidth="1"/>
    <col min="2" max="2" width="22.7265625" style="40" customWidth="1"/>
    <col min="3" max="3" width="21" style="40" customWidth="1"/>
    <col min="4" max="4" width="22.7265625" style="40" customWidth="1"/>
    <col min="5" max="5" width="27.26953125" style="40" customWidth="1"/>
    <col min="6" max="6" width="17" style="40" customWidth="1"/>
    <col min="7" max="7" width="13.7265625" style="40" customWidth="1"/>
    <col min="8" max="8" width="11.1796875" style="40" customWidth="1"/>
    <col min="9" max="9" width="13.7265625" style="40" customWidth="1"/>
    <col min="10" max="10" width="13.81640625" style="40" customWidth="1"/>
    <col min="11" max="11" width="10.453125" style="40" customWidth="1"/>
    <col min="12" max="12" width="8.81640625" style="40" customWidth="1"/>
    <col min="13" max="13" width="10.453125" style="40" customWidth="1"/>
    <col min="14" max="14" width="10.1796875" style="40" customWidth="1"/>
    <col min="15" max="16" width="9.1796875" style="40"/>
    <col min="17" max="17" width="17" style="40" customWidth="1"/>
    <col min="18" max="18" width="9.1796875" style="40"/>
    <col min="19" max="19" width="9.453125" style="40" customWidth="1"/>
    <col min="20" max="20" width="9.26953125" style="40" customWidth="1"/>
    <col min="21" max="16384" width="9.1796875" style="40"/>
  </cols>
  <sheetData>
    <row r="1" spans="1:6" ht="20.5">
      <c r="A1" s="38" t="s">
        <v>342</v>
      </c>
      <c r="B1" s="39"/>
      <c r="C1" s="39"/>
      <c r="D1" s="39"/>
      <c r="E1" s="39"/>
      <c r="F1" s="39"/>
    </row>
    <row r="2" spans="1:6" ht="20.5">
      <c r="A2" s="39" t="s">
        <v>343</v>
      </c>
      <c r="B2" s="39"/>
      <c r="C2" s="39"/>
      <c r="D2" s="39"/>
      <c r="E2" s="39"/>
      <c r="F2" s="39"/>
    </row>
    <row r="3" spans="1:6" ht="20.5">
      <c r="A3" s="39"/>
      <c r="B3" s="39"/>
      <c r="C3" s="39"/>
      <c r="D3" s="39"/>
      <c r="E3" s="39"/>
      <c r="F3" s="39"/>
    </row>
    <row r="4" spans="1:6" ht="20.5">
      <c r="A4" s="74" t="s">
        <v>344</v>
      </c>
      <c r="B4" s="59" t="s">
        <v>20</v>
      </c>
      <c r="C4" s="59" t="s">
        <v>345</v>
      </c>
      <c r="D4" s="80" t="s">
        <v>346</v>
      </c>
      <c r="E4" s="59" t="s">
        <v>347</v>
      </c>
      <c r="F4" s="39"/>
    </row>
    <row r="5" spans="1:6" ht="20.5">
      <c r="A5" s="74"/>
      <c r="B5" s="81" t="s">
        <v>269</v>
      </c>
      <c r="C5" s="81" t="s">
        <v>269</v>
      </c>
      <c r="D5" s="82" t="s">
        <v>269</v>
      </c>
      <c r="E5" s="81" t="s">
        <v>269</v>
      </c>
      <c r="F5" s="39"/>
    </row>
    <row r="6" spans="1:6" ht="20.5">
      <c r="A6" s="83">
        <v>45108</v>
      </c>
      <c r="B6" s="84">
        <v>3430</v>
      </c>
      <c r="C6" s="84">
        <v>2400</v>
      </c>
      <c r="D6" s="84">
        <f>B6-C6</f>
        <v>1030</v>
      </c>
      <c r="E6" s="81">
        <v>310</v>
      </c>
      <c r="F6" s="39"/>
    </row>
    <row r="7" spans="1:6" ht="20.5">
      <c r="A7" s="83">
        <v>45139</v>
      </c>
      <c r="B7" s="84">
        <v>3780</v>
      </c>
      <c r="C7" s="84">
        <v>2830</v>
      </c>
      <c r="D7" s="84">
        <f t="shared" ref="D7:D11" si="0">B7-C7</f>
        <v>950</v>
      </c>
      <c r="E7" s="81">
        <v>280</v>
      </c>
      <c r="F7" s="39"/>
    </row>
    <row r="8" spans="1:6" ht="20.5">
      <c r="A8" s="83">
        <v>45170</v>
      </c>
      <c r="B8" s="84">
        <v>3200</v>
      </c>
      <c r="C8" s="84">
        <v>2300</v>
      </c>
      <c r="D8" s="84">
        <f t="shared" si="0"/>
        <v>900</v>
      </c>
      <c r="E8" s="81">
        <f t="shared" ref="E8:E11" si="1">D8*30%</f>
        <v>270</v>
      </c>
      <c r="F8" s="39"/>
    </row>
    <row r="9" spans="1:6" ht="20.5">
      <c r="A9" s="83">
        <v>45200</v>
      </c>
      <c r="B9" s="84">
        <v>3650</v>
      </c>
      <c r="C9" s="84">
        <v>2740</v>
      </c>
      <c r="D9" s="84">
        <f t="shared" si="0"/>
        <v>910</v>
      </c>
      <c r="E9" s="81">
        <v>275</v>
      </c>
      <c r="F9" s="39"/>
    </row>
    <row r="10" spans="1:6" ht="20.5">
      <c r="A10" s="83">
        <v>45231</v>
      </c>
      <c r="B10" s="84">
        <v>3920</v>
      </c>
      <c r="C10" s="84">
        <v>2900</v>
      </c>
      <c r="D10" s="84">
        <f t="shared" si="0"/>
        <v>1020</v>
      </c>
      <c r="E10" s="81">
        <v>305</v>
      </c>
      <c r="F10" s="39"/>
    </row>
    <row r="11" spans="1:6" ht="20.5">
      <c r="A11" s="83">
        <v>45261</v>
      </c>
      <c r="B11" s="84">
        <v>4100</v>
      </c>
      <c r="C11" s="84">
        <v>3100</v>
      </c>
      <c r="D11" s="84">
        <f t="shared" si="0"/>
        <v>1000</v>
      </c>
      <c r="E11" s="81">
        <f t="shared" si="1"/>
        <v>300</v>
      </c>
      <c r="F11" s="39"/>
    </row>
    <row r="12" spans="1:6" ht="20.5">
      <c r="A12" s="39"/>
      <c r="B12" s="84"/>
      <c r="C12" s="84"/>
      <c r="D12" s="84"/>
      <c r="E12" s="39"/>
      <c r="F12" s="39"/>
    </row>
    <row r="13" spans="1:6" ht="65.150000000000006" customHeight="1">
      <c r="A13" s="74" t="s">
        <v>344</v>
      </c>
      <c r="B13" s="85" t="s">
        <v>348</v>
      </c>
      <c r="C13" s="86" t="s">
        <v>275</v>
      </c>
      <c r="D13" s="59" t="s">
        <v>0</v>
      </c>
      <c r="E13" s="59" t="s">
        <v>349</v>
      </c>
      <c r="F13" s="59" t="s">
        <v>350</v>
      </c>
    </row>
    <row r="14" spans="1:6" ht="20.5">
      <c r="A14" s="39"/>
      <c r="B14" s="82" t="s">
        <v>269</v>
      </c>
      <c r="C14" s="81" t="s">
        <v>269</v>
      </c>
      <c r="D14" s="81" t="s">
        <v>269</v>
      </c>
      <c r="E14" s="81" t="s">
        <v>269</v>
      </c>
      <c r="F14" s="81" t="s">
        <v>269</v>
      </c>
    </row>
    <row r="15" spans="1:6" ht="20.5">
      <c r="A15" s="83">
        <v>45108</v>
      </c>
      <c r="B15" s="82">
        <v>720</v>
      </c>
      <c r="C15" s="81">
        <v>290</v>
      </c>
      <c r="D15" s="81">
        <v>430</v>
      </c>
      <c r="E15" s="81">
        <v>120</v>
      </c>
      <c r="F15" s="81">
        <v>310</v>
      </c>
    </row>
    <row r="16" spans="1:6" ht="20.5">
      <c r="A16" s="83">
        <v>45139</v>
      </c>
      <c r="B16" s="82">
        <v>670</v>
      </c>
      <c r="C16" s="81">
        <v>270</v>
      </c>
      <c r="D16" s="81">
        <v>400</v>
      </c>
      <c r="E16" s="81">
        <v>115</v>
      </c>
      <c r="F16" s="81">
        <v>285</v>
      </c>
    </row>
    <row r="17" spans="1:6" ht="20.5">
      <c r="A17" s="83">
        <v>45170</v>
      </c>
      <c r="B17" s="82">
        <v>630</v>
      </c>
      <c r="C17" s="81">
        <v>250</v>
      </c>
      <c r="D17" s="81">
        <v>380</v>
      </c>
      <c r="E17" s="81">
        <v>112</v>
      </c>
      <c r="F17" s="81">
        <v>268</v>
      </c>
    </row>
    <row r="18" spans="1:6" ht="20.5">
      <c r="A18" s="83">
        <v>45200</v>
      </c>
      <c r="B18" s="82">
        <v>635</v>
      </c>
      <c r="C18" s="81">
        <v>250</v>
      </c>
      <c r="D18" s="81">
        <v>385</v>
      </c>
      <c r="E18" s="81">
        <v>110</v>
      </c>
      <c r="F18" s="81">
        <v>275</v>
      </c>
    </row>
    <row r="19" spans="1:6" ht="20.5">
      <c r="A19" s="83">
        <v>45231</v>
      </c>
      <c r="B19" s="82">
        <v>715</v>
      </c>
      <c r="C19" s="81">
        <v>280</v>
      </c>
      <c r="D19" s="81">
        <v>435</v>
      </c>
      <c r="E19" s="81">
        <v>98</v>
      </c>
      <c r="F19" s="81">
        <v>337</v>
      </c>
    </row>
    <row r="20" spans="1:6" ht="20.5">
      <c r="A20" s="83">
        <v>45261</v>
      </c>
      <c r="B20" s="82">
        <v>700</v>
      </c>
      <c r="C20" s="81">
        <v>290</v>
      </c>
      <c r="D20" s="81">
        <v>410</v>
      </c>
      <c r="E20" s="81">
        <v>95</v>
      </c>
      <c r="F20" s="81">
        <v>315</v>
      </c>
    </row>
    <row r="21" spans="1:6" ht="20.5">
      <c r="A21" s="39"/>
      <c r="B21" s="39"/>
      <c r="C21" s="39"/>
      <c r="D21" s="39"/>
      <c r="E21" s="39"/>
      <c r="F21" s="39"/>
    </row>
    <row r="22" spans="1:6" ht="20.5">
      <c r="A22" s="39"/>
      <c r="B22" s="39"/>
      <c r="C22" s="39"/>
      <c r="D22" s="39"/>
      <c r="E22" s="39"/>
      <c r="F22" s="39"/>
    </row>
    <row r="23" spans="1:6" ht="20.5">
      <c r="A23" s="74" t="s">
        <v>351</v>
      </c>
      <c r="B23" s="80" t="s">
        <v>32</v>
      </c>
      <c r="C23" s="80" t="s">
        <v>96</v>
      </c>
      <c r="D23" s="59" t="s">
        <v>352</v>
      </c>
      <c r="E23" s="59" t="s">
        <v>353</v>
      </c>
      <c r="F23" s="39"/>
    </row>
    <row r="24" spans="1:6" ht="20.5">
      <c r="A24" s="74" t="s">
        <v>344</v>
      </c>
      <c r="B24" s="82" t="s">
        <v>269</v>
      </c>
      <c r="C24" s="82" t="s">
        <v>269</v>
      </c>
      <c r="D24" s="81" t="s">
        <v>269</v>
      </c>
      <c r="E24" s="81" t="s">
        <v>269</v>
      </c>
      <c r="F24" s="39"/>
    </row>
    <row r="25" spans="1:6" ht="20.5">
      <c r="A25" s="83">
        <v>45108</v>
      </c>
      <c r="B25" s="87">
        <v>980</v>
      </c>
      <c r="C25" s="87">
        <v>1200</v>
      </c>
      <c r="D25" s="82">
        <v>720</v>
      </c>
      <c r="E25" s="81">
        <v>150</v>
      </c>
      <c r="F25" s="39"/>
    </row>
    <row r="26" spans="1:6" ht="20.5">
      <c r="A26" s="83">
        <v>45139</v>
      </c>
      <c r="B26" s="87">
        <v>1020</v>
      </c>
      <c r="C26" s="87">
        <v>1230</v>
      </c>
      <c r="D26" s="82">
        <v>800</v>
      </c>
      <c r="E26" s="81">
        <v>230</v>
      </c>
      <c r="F26" s="39"/>
    </row>
    <row r="27" spans="1:6" ht="20.5">
      <c r="A27" s="83">
        <v>45170</v>
      </c>
      <c r="B27" s="87">
        <v>960</v>
      </c>
      <c r="C27" s="87">
        <v>1190</v>
      </c>
      <c r="D27" s="82">
        <v>950</v>
      </c>
      <c r="E27" s="81">
        <v>180</v>
      </c>
      <c r="F27" s="39"/>
    </row>
    <row r="28" spans="1:6" ht="20.5">
      <c r="A28" s="83">
        <v>45200</v>
      </c>
      <c r="B28" s="87">
        <v>910</v>
      </c>
      <c r="C28" s="87">
        <v>1320</v>
      </c>
      <c r="D28" s="87">
        <v>1000</v>
      </c>
      <c r="E28" s="81">
        <v>90</v>
      </c>
      <c r="F28" s="39"/>
    </row>
    <row r="29" spans="1:6" ht="20.5">
      <c r="A29" s="83">
        <v>45231</v>
      </c>
      <c r="B29" s="87">
        <v>1030</v>
      </c>
      <c r="C29" s="87">
        <v>1280</v>
      </c>
      <c r="D29" s="82">
        <v>850</v>
      </c>
      <c r="E29" s="81">
        <v>100</v>
      </c>
      <c r="F29" s="39"/>
    </row>
    <row r="30" spans="1:6" ht="20.5">
      <c r="A30" s="83">
        <v>45261</v>
      </c>
      <c r="B30" s="87">
        <v>1000</v>
      </c>
      <c r="C30" s="87">
        <v>1340</v>
      </c>
      <c r="D30" s="82">
        <v>900</v>
      </c>
      <c r="E30" s="81">
        <v>80</v>
      </c>
      <c r="F30" s="39"/>
    </row>
    <row r="31" spans="1:6" ht="20.5">
      <c r="A31" s="81"/>
      <c r="B31" s="81"/>
      <c r="C31" s="81"/>
      <c r="D31" s="81"/>
      <c r="E31" s="81"/>
      <c r="F31" s="39"/>
    </row>
    <row r="32" spans="1:6" ht="20.5">
      <c r="A32" s="39"/>
      <c r="B32" s="39"/>
      <c r="C32" s="39"/>
      <c r="D32" s="39"/>
      <c r="E32" s="39"/>
      <c r="F32" s="39"/>
    </row>
    <row r="33" spans="1:9" ht="20.5">
      <c r="A33" s="38" t="s">
        <v>47</v>
      </c>
      <c r="B33" s="39"/>
      <c r="C33" s="39"/>
      <c r="D33" s="39"/>
      <c r="E33" s="39"/>
      <c r="F33" s="39"/>
    </row>
    <row r="34" spans="1:9" ht="20.5">
      <c r="A34" s="39" t="s">
        <v>354</v>
      </c>
      <c r="B34" s="39"/>
      <c r="C34" s="39"/>
      <c r="D34" s="39"/>
      <c r="E34" s="39"/>
      <c r="F34" s="39"/>
    </row>
    <row r="35" spans="1:9" ht="20.5">
      <c r="A35" s="39"/>
      <c r="B35" s="39"/>
      <c r="C35" s="39"/>
      <c r="D35" s="39"/>
      <c r="E35" s="39"/>
      <c r="F35" s="39"/>
    </row>
    <row r="36" spans="1:9" ht="20.5">
      <c r="A36" s="39" t="s">
        <v>355</v>
      </c>
      <c r="B36" s="39"/>
      <c r="C36" s="39"/>
      <c r="D36" s="39"/>
      <c r="E36" s="39"/>
      <c r="F36" s="39"/>
    </row>
    <row r="37" spans="1:9" ht="20.5">
      <c r="A37" s="39"/>
      <c r="B37" s="39"/>
      <c r="C37" s="39"/>
      <c r="D37" s="39"/>
      <c r="E37" s="39"/>
      <c r="F37" s="39"/>
    </row>
    <row r="38" spans="1:9" ht="20.5">
      <c r="A38" s="39" t="s">
        <v>356</v>
      </c>
      <c r="B38" s="39"/>
      <c r="C38" s="39"/>
      <c r="D38" s="39"/>
      <c r="E38" s="39"/>
      <c r="F38" s="39"/>
    </row>
    <row r="39" spans="1:9" ht="20.5">
      <c r="A39" s="39"/>
      <c r="B39" s="39"/>
      <c r="C39" s="39"/>
      <c r="D39" s="39"/>
      <c r="E39" s="39"/>
      <c r="F39" s="39"/>
    </row>
    <row r="40" spans="1:9" ht="20.5">
      <c r="A40" s="39" t="s">
        <v>357</v>
      </c>
      <c r="B40" s="39"/>
      <c r="C40" s="39"/>
      <c r="D40" s="39"/>
      <c r="E40" s="39"/>
      <c r="F40" s="39"/>
    </row>
    <row r="41" spans="1:9" ht="20.5">
      <c r="A41" s="39"/>
      <c r="B41" s="39"/>
      <c r="C41" s="39"/>
      <c r="D41" s="39"/>
      <c r="E41" s="39"/>
      <c r="F41" s="39"/>
    </row>
    <row r="42" spans="1:9" ht="20.5">
      <c r="A42" s="39" t="s">
        <v>358</v>
      </c>
      <c r="B42" s="39"/>
      <c r="C42" s="39"/>
      <c r="D42" s="39"/>
      <c r="E42" s="39"/>
      <c r="F42" s="39"/>
    </row>
    <row r="43" spans="1:9" ht="20.5">
      <c r="A43" s="39"/>
      <c r="B43" s="39"/>
      <c r="C43" s="39"/>
      <c r="D43" s="39"/>
      <c r="E43" s="39"/>
      <c r="F43" s="39"/>
    </row>
    <row r="44" spans="1:9" ht="20.5">
      <c r="A44" s="39" t="s">
        <v>359</v>
      </c>
      <c r="B44" s="39"/>
      <c r="C44" s="39"/>
      <c r="D44" s="39"/>
      <c r="E44" s="39"/>
      <c r="F44" s="39"/>
    </row>
    <row r="45" spans="1:9" ht="20.5">
      <c r="A45" s="39"/>
      <c r="B45" s="39"/>
      <c r="C45" s="39"/>
      <c r="D45" s="39"/>
      <c r="E45" s="39"/>
      <c r="F45" s="39"/>
    </row>
    <row r="46" spans="1:9" ht="20.5">
      <c r="A46" s="39" t="s">
        <v>360</v>
      </c>
      <c r="B46" s="39"/>
      <c r="C46" s="39"/>
      <c r="D46" s="39"/>
      <c r="E46" s="39"/>
      <c r="F46" s="39"/>
      <c r="G46" s="39" t="s">
        <v>361</v>
      </c>
    </row>
    <row r="47" spans="1:9" ht="20.5">
      <c r="A47" s="39"/>
      <c r="B47" s="39"/>
      <c r="C47" s="39"/>
      <c r="D47" s="39"/>
      <c r="E47" s="39"/>
      <c r="F47" s="39"/>
    </row>
    <row r="48" spans="1:9" ht="20.5">
      <c r="A48" s="39" t="s">
        <v>362</v>
      </c>
      <c r="B48" s="39"/>
      <c r="C48" s="39"/>
      <c r="D48" s="39"/>
      <c r="E48" s="39"/>
      <c r="F48" s="39"/>
      <c r="I48" s="42"/>
    </row>
    <row r="49" spans="1:23" ht="30.65" customHeight="1">
      <c r="A49" s="39" t="s">
        <v>363</v>
      </c>
      <c r="B49" s="39"/>
      <c r="C49" s="39"/>
      <c r="E49" s="88"/>
      <c r="F49" s="88"/>
      <c r="G49" s="89" t="s">
        <v>331</v>
      </c>
      <c r="J49" s="90"/>
      <c r="K49" s="90"/>
      <c r="L49" s="90"/>
      <c r="M49" s="90"/>
      <c r="N49" s="90"/>
      <c r="O49" s="90"/>
      <c r="P49" s="91"/>
      <c r="R49" s="90"/>
      <c r="S49" s="90"/>
      <c r="T49" s="90"/>
      <c r="U49" s="90"/>
      <c r="V49" s="90"/>
      <c r="W49" s="90"/>
    </row>
    <row r="50" spans="1:23" ht="20.149999999999999" customHeight="1">
      <c r="A50" s="39"/>
      <c r="B50" s="39"/>
      <c r="C50" s="39"/>
      <c r="E50" s="88"/>
      <c r="F50" s="88"/>
      <c r="G50" s="89"/>
      <c r="J50" s="90"/>
      <c r="K50" s="90"/>
      <c r="L50" s="90"/>
      <c r="M50" s="90"/>
      <c r="N50" s="90"/>
      <c r="O50" s="90"/>
      <c r="P50" s="91"/>
      <c r="R50" s="90"/>
      <c r="S50" s="90"/>
      <c r="T50" s="90"/>
      <c r="U50" s="90"/>
      <c r="V50" s="90"/>
      <c r="W50" s="90"/>
    </row>
    <row r="51" spans="1:23" ht="20.5">
      <c r="A51" s="39" t="s">
        <v>364</v>
      </c>
      <c r="B51" s="92"/>
      <c r="C51" s="92"/>
      <c r="E51" s="92"/>
      <c r="F51" s="92"/>
      <c r="G51" s="89" t="s">
        <v>331</v>
      </c>
      <c r="J51" s="93"/>
      <c r="K51" s="93"/>
      <c r="L51" s="93"/>
      <c r="M51" s="93"/>
      <c r="N51" s="93"/>
      <c r="O51" s="93"/>
      <c r="P51" s="93"/>
    </row>
    <row r="52" spans="1:23" ht="20.5">
      <c r="A52" s="39"/>
      <c r="B52" s="92"/>
      <c r="C52" s="92"/>
      <c r="E52" s="92"/>
      <c r="F52" s="92"/>
      <c r="G52" s="89"/>
      <c r="J52" s="93"/>
      <c r="K52" s="93"/>
      <c r="L52" s="93"/>
      <c r="M52" s="93"/>
      <c r="N52" s="93"/>
      <c r="O52" s="93"/>
      <c r="P52" s="93"/>
    </row>
    <row r="53" spans="1:23" ht="20.5">
      <c r="A53" s="39" t="s">
        <v>365</v>
      </c>
      <c r="B53" s="94"/>
      <c r="C53" s="94"/>
      <c r="E53" s="94"/>
      <c r="F53" s="94"/>
      <c r="G53" s="89" t="s">
        <v>331</v>
      </c>
      <c r="J53" s="95"/>
      <c r="K53" s="95"/>
      <c r="L53" s="95"/>
      <c r="M53" s="95"/>
      <c r="N53" s="95"/>
      <c r="O53" s="95"/>
      <c r="P53" s="95"/>
    </row>
    <row r="54" spans="1:23" ht="20.5">
      <c r="A54" s="39"/>
      <c r="B54" s="94"/>
      <c r="C54" s="94"/>
      <c r="E54" s="94"/>
      <c r="F54" s="94"/>
      <c r="G54" s="89"/>
      <c r="J54" s="95"/>
      <c r="K54" s="95"/>
      <c r="L54" s="95"/>
      <c r="M54" s="95"/>
      <c r="N54" s="95"/>
      <c r="O54" s="95"/>
      <c r="P54" s="95"/>
    </row>
    <row r="55" spans="1:23" ht="20.5">
      <c r="A55" s="39" t="s">
        <v>366</v>
      </c>
      <c r="B55" s="92"/>
      <c r="C55" s="92"/>
      <c r="E55" s="92"/>
      <c r="F55" s="88"/>
      <c r="G55" s="89" t="s">
        <v>331</v>
      </c>
      <c r="J55" s="93"/>
      <c r="K55" s="93"/>
      <c r="L55" s="93"/>
      <c r="M55" s="93"/>
      <c r="N55" s="93"/>
      <c r="O55" s="93"/>
      <c r="P55" s="93"/>
    </row>
    <row r="56" spans="1:23" ht="20.5">
      <c r="A56" s="39"/>
      <c r="B56" s="92"/>
      <c r="C56" s="92"/>
      <c r="E56" s="92"/>
      <c r="F56" s="88"/>
      <c r="G56" s="89"/>
      <c r="J56" s="93"/>
      <c r="K56" s="93"/>
      <c r="L56" s="93"/>
      <c r="M56" s="93"/>
      <c r="N56" s="93"/>
      <c r="O56" s="93"/>
      <c r="P56" s="93"/>
    </row>
    <row r="57" spans="1:23" ht="20.5">
      <c r="A57" s="39" t="s">
        <v>367</v>
      </c>
      <c r="B57" s="94"/>
      <c r="C57" s="94"/>
      <c r="E57" s="94"/>
      <c r="F57" s="88"/>
      <c r="G57" s="89" t="s">
        <v>331</v>
      </c>
      <c r="J57" s="95"/>
      <c r="K57" s="95"/>
      <c r="L57" s="95"/>
      <c r="M57" s="95"/>
      <c r="N57" s="95"/>
      <c r="O57" s="95"/>
      <c r="P57" s="95"/>
    </row>
    <row r="58" spans="1:23" ht="20.5">
      <c r="A58" s="39"/>
      <c r="B58" s="94"/>
      <c r="C58" s="94"/>
      <c r="E58" s="94"/>
      <c r="F58" s="88"/>
      <c r="G58" s="89"/>
      <c r="J58" s="95"/>
      <c r="K58" s="95"/>
      <c r="L58" s="95"/>
      <c r="M58" s="95"/>
      <c r="N58" s="95"/>
      <c r="O58" s="95"/>
      <c r="P58" s="95"/>
    </row>
    <row r="59" spans="1:23" ht="20.5">
      <c r="A59" s="39" t="s">
        <v>368</v>
      </c>
      <c r="B59" s="92"/>
      <c r="C59" s="92"/>
      <c r="E59" s="92"/>
      <c r="F59" s="88"/>
      <c r="G59" s="89" t="s">
        <v>331</v>
      </c>
      <c r="J59" s="93"/>
      <c r="K59" s="93"/>
      <c r="L59" s="93"/>
      <c r="M59" s="93"/>
      <c r="N59" s="93"/>
      <c r="O59" s="93"/>
      <c r="P59" s="93"/>
    </row>
    <row r="60" spans="1:23" ht="20.5">
      <c r="A60" s="39"/>
      <c r="B60" s="94"/>
      <c r="C60" s="94"/>
      <c r="D60" s="94"/>
      <c r="E60" s="94"/>
      <c r="G60" s="96" t="s">
        <v>50</v>
      </c>
      <c r="H60" s="95"/>
      <c r="J60" s="95"/>
      <c r="K60" s="95"/>
      <c r="L60" s="95"/>
      <c r="M60" s="95"/>
      <c r="N60" s="95"/>
      <c r="O60" s="95"/>
      <c r="P60" s="95"/>
    </row>
    <row r="61" spans="1:23" ht="20.5">
      <c r="A61" s="39"/>
      <c r="B61" s="92"/>
      <c r="C61" s="92"/>
      <c r="D61" s="92"/>
      <c r="E61" s="92"/>
      <c r="G61" s="93"/>
      <c r="H61" s="93"/>
      <c r="J61" s="93"/>
      <c r="K61" s="93"/>
      <c r="L61" s="93"/>
      <c r="M61" s="93"/>
      <c r="N61" s="93"/>
      <c r="O61" s="93"/>
      <c r="P61" s="93"/>
    </row>
    <row r="62" spans="1:23" ht="20.5">
      <c r="A62" s="39"/>
      <c r="B62" s="94"/>
      <c r="C62" s="94"/>
      <c r="D62" s="94"/>
      <c r="E62" s="94"/>
      <c r="F62" s="88"/>
      <c r="G62" s="95"/>
      <c r="H62" s="95"/>
      <c r="J62" s="95"/>
      <c r="K62" s="95"/>
      <c r="L62" s="95"/>
      <c r="M62" s="95"/>
      <c r="N62" s="95"/>
      <c r="O62" s="95"/>
      <c r="P62" s="95"/>
    </row>
    <row r="63" spans="1:23" ht="20.5">
      <c r="A63" s="39"/>
      <c r="B63" s="97"/>
      <c r="C63" s="97"/>
      <c r="D63" s="97"/>
      <c r="E63" s="97"/>
      <c r="G63" s="74" t="s">
        <v>369</v>
      </c>
      <c r="H63" s="98"/>
      <c r="J63" s="98"/>
      <c r="K63" s="98"/>
      <c r="L63" s="98"/>
      <c r="M63" s="98"/>
      <c r="N63" s="98"/>
      <c r="O63" s="98"/>
      <c r="P63" s="98"/>
    </row>
    <row r="64" spans="1:23" ht="20.5">
      <c r="A64" s="39"/>
      <c r="B64" s="39"/>
      <c r="D64" s="39"/>
      <c r="E64" s="39"/>
      <c r="G64" s="74" t="s">
        <v>313</v>
      </c>
    </row>
    <row r="65" spans="1:16">
      <c r="A65" s="42"/>
      <c r="B65" s="90"/>
      <c r="C65" s="90"/>
      <c r="D65" s="90"/>
      <c r="E65" s="90"/>
      <c r="F65" s="90"/>
      <c r="G65" s="90"/>
      <c r="H65" s="91"/>
      <c r="I65" s="42"/>
      <c r="J65" s="90"/>
      <c r="K65" s="90"/>
      <c r="L65" s="90"/>
      <c r="M65" s="90"/>
      <c r="N65" s="90"/>
      <c r="O65" s="90"/>
      <c r="P65" s="91"/>
    </row>
    <row r="66" spans="1:16">
      <c r="B66" s="99"/>
      <c r="C66" s="99"/>
      <c r="D66" s="99"/>
      <c r="E66" s="99"/>
      <c r="F66" s="99"/>
      <c r="G66" s="99"/>
      <c r="H66" s="99"/>
      <c r="J66" s="99"/>
      <c r="K66" s="99"/>
      <c r="L66" s="99"/>
      <c r="M66" s="99"/>
      <c r="N66" s="99"/>
      <c r="O66" s="99"/>
      <c r="P66" s="99"/>
    </row>
    <row r="67" spans="1:16">
      <c r="B67" s="99"/>
      <c r="C67" s="99"/>
      <c r="D67" s="99"/>
      <c r="E67" s="99"/>
      <c r="F67" s="99"/>
      <c r="G67" s="99"/>
      <c r="H67" s="99"/>
      <c r="J67" s="99"/>
      <c r="K67" s="99"/>
      <c r="L67" s="99"/>
      <c r="M67" s="99"/>
      <c r="N67" s="99"/>
      <c r="O67" s="99"/>
      <c r="P67" s="99"/>
    </row>
    <row r="68" spans="1:16">
      <c r="B68" s="99"/>
      <c r="C68" s="99"/>
      <c r="D68" s="99"/>
      <c r="E68" s="99"/>
      <c r="J68" s="99"/>
      <c r="K68" s="99"/>
      <c r="L68" s="99"/>
      <c r="M68" s="99"/>
      <c r="N68" s="99"/>
      <c r="O68" s="99"/>
      <c r="P68" s="99"/>
    </row>
    <row r="69" spans="1:16">
      <c r="B69" s="99"/>
      <c r="C69" s="99"/>
      <c r="D69" s="99"/>
      <c r="E69" s="99"/>
      <c r="J69" s="99"/>
      <c r="K69" s="99"/>
      <c r="L69" s="99"/>
      <c r="M69" s="99"/>
      <c r="N69" s="99"/>
      <c r="O69" s="99"/>
      <c r="P69" s="99"/>
    </row>
    <row r="71" spans="1:16">
      <c r="A71" s="100"/>
      <c r="B71" s="90"/>
      <c r="C71" s="90"/>
      <c r="D71" s="90"/>
      <c r="E71" s="90"/>
      <c r="F71" s="90"/>
      <c r="G71" s="90"/>
    </row>
    <row r="72" spans="1:16">
      <c r="B72" s="93"/>
      <c r="C72" s="93"/>
      <c r="D72" s="93"/>
      <c r="E72" s="93"/>
      <c r="F72" s="93"/>
      <c r="G72" s="93"/>
    </row>
    <row r="73" spans="1:16">
      <c r="B73" s="93"/>
      <c r="C73" s="93"/>
      <c r="D73" s="93"/>
      <c r="E73" s="93"/>
      <c r="F73" s="93"/>
      <c r="G73" s="93"/>
    </row>
    <row r="74" spans="1:16">
      <c r="B74" s="93"/>
      <c r="C74" s="93"/>
      <c r="D74" s="93"/>
      <c r="E74" s="93"/>
      <c r="F74" s="93"/>
      <c r="G74" s="93"/>
    </row>
    <row r="75" spans="1:16">
      <c r="B75" s="93"/>
      <c r="C75" s="93"/>
      <c r="D75" s="93"/>
      <c r="E75" s="93"/>
      <c r="F75" s="93"/>
      <c r="G75" s="93"/>
    </row>
    <row r="76" spans="1:16">
      <c r="A76" s="42"/>
      <c r="B76" s="90"/>
      <c r="C76" s="90"/>
      <c r="D76" s="90"/>
      <c r="E76" s="90"/>
      <c r="F76" s="90"/>
      <c r="G76" s="90"/>
      <c r="I76" s="42"/>
    </row>
    <row r="77" spans="1:16">
      <c r="B77" s="101"/>
      <c r="C77" s="101"/>
      <c r="D77" s="101"/>
      <c r="E77" s="101"/>
      <c r="F77" s="101"/>
      <c r="G77" s="101"/>
      <c r="J77" s="90"/>
      <c r="K77" s="90"/>
      <c r="L77" s="90"/>
      <c r="M77" s="90"/>
      <c r="N77" s="90"/>
      <c r="O77" s="90"/>
    </row>
    <row r="78" spans="1:16">
      <c r="B78" s="101"/>
      <c r="C78" s="101"/>
      <c r="D78" s="101"/>
      <c r="E78" s="101"/>
      <c r="F78" s="101"/>
      <c r="G78" s="101"/>
      <c r="J78" s="93"/>
      <c r="K78" s="93"/>
      <c r="L78" s="93"/>
      <c r="M78" s="93"/>
      <c r="N78" s="93"/>
      <c r="O78" s="93"/>
    </row>
    <row r="79" spans="1:16">
      <c r="B79" s="101"/>
      <c r="C79" s="101"/>
      <c r="D79" s="101"/>
      <c r="E79" s="101"/>
      <c r="F79" s="101"/>
      <c r="G79" s="101"/>
      <c r="J79" s="93"/>
      <c r="K79" s="93"/>
      <c r="L79" s="93"/>
      <c r="M79" s="93"/>
      <c r="N79" s="93"/>
      <c r="O79" s="93"/>
    </row>
    <row r="80" spans="1:16">
      <c r="J80" s="93"/>
      <c r="K80" s="93"/>
      <c r="L80" s="93"/>
      <c r="M80" s="93"/>
      <c r="N80" s="93"/>
      <c r="O80" s="93"/>
    </row>
    <row r="81" spans="1:15">
      <c r="A81" s="42"/>
      <c r="B81" s="90"/>
      <c r="C81" s="90"/>
      <c r="D81" s="90"/>
      <c r="E81" s="90"/>
      <c r="F81" s="90"/>
      <c r="G81" s="90"/>
      <c r="H81" s="91"/>
      <c r="J81" s="93"/>
      <c r="K81" s="93"/>
      <c r="L81" s="93"/>
      <c r="M81" s="93"/>
      <c r="N81" s="93"/>
      <c r="O81" s="93"/>
    </row>
    <row r="84" spans="1:15">
      <c r="B84" s="102"/>
      <c r="C84" s="102"/>
      <c r="D84" s="102"/>
      <c r="E84" s="102"/>
      <c r="F84" s="102"/>
      <c r="G84" s="102"/>
    </row>
    <row r="85" spans="1:15">
      <c r="C85" s="102"/>
      <c r="D85" s="102"/>
      <c r="E85" s="102"/>
      <c r="F85" s="102"/>
      <c r="G85" s="102"/>
    </row>
    <row r="86" spans="1:15" ht="17">
      <c r="B86" s="103"/>
      <c r="C86" s="103"/>
      <c r="D86" s="103"/>
      <c r="E86" s="103"/>
      <c r="F86" s="103"/>
      <c r="G86" s="103"/>
    </row>
    <row r="87" spans="1:15" ht="17">
      <c r="B87" s="103"/>
      <c r="C87" s="103"/>
      <c r="D87" s="103"/>
      <c r="E87" s="103"/>
      <c r="F87" s="103"/>
      <c r="G87" s="103"/>
    </row>
    <row r="88" spans="1:15">
      <c r="B88" s="102"/>
      <c r="C88" s="102"/>
      <c r="D88" s="102"/>
      <c r="E88" s="102"/>
      <c r="F88" s="102"/>
      <c r="G88" s="102"/>
    </row>
    <row r="89" spans="1:15" ht="17">
      <c r="B89" s="104"/>
      <c r="C89" s="104"/>
      <c r="D89" s="104"/>
      <c r="E89" s="104"/>
      <c r="F89" s="104"/>
      <c r="G89" s="104"/>
    </row>
    <row r="91" spans="1:15">
      <c r="B91" s="102"/>
      <c r="C91" s="102"/>
      <c r="D91" s="102"/>
      <c r="E91" s="102"/>
      <c r="F91" s="102"/>
      <c r="G91" s="102"/>
    </row>
    <row r="92" spans="1:15">
      <c r="B92" s="102"/>
      <c r="C92" s="102"/>
      <c r="D92" s="102"/>
      <c r="E92" s="102"/>
      <c r="F92" s="102"/>
      <c r="G92" s="102"/>
    </row>
    <row r="93" spans="1:15" ht="17">
      <c r="B93" s="104"/>
      <c r="C93" s="104"/>
      <c r="D93" s="104"/>
      <c r="E93" s="104"/>
      <c r="F93" s="104"/>
      <c r="G93" s="104"/>
    </row>
    <row r="95" spans="1:15">
      <c r="B95" s="102"/>
      <c r="C95" s="102"/>
      <c r="D95" s="102"/>
      <c r="E95" s="102"/>
      <c r="F95" s="102"/>
      <c r="G95" s="102"/>
    </row>
    <row r="96" spans="1:15">
      <c r="B96" s="102"/>
      <c r="C96" s="102"/>
      <c r="D96" s="102"/>
      <c r="E96" s="102"/>
      <c r="F96" s="102"/>
      <c r="G96" s="102"/>
    </row>
    <row r="97" spans="2:15" ht="17">
      <c r="B97" s="104"/>
      <c r="C97" s="104"/>
      <c r="D97" s="104"/>
      <c r="E97" s="104"/>
      <c r="F97" s="104"/>
      <c r="G97" s="104"/>
    </row>
    <row r="100" spans="2:15">
      <c r="I100" s="42"/>
    </row>
    <row r="101" spans="2:15">
      <c r="J101" s="90"/>
      <c r="K101" s="90"/>
      <c r="L101" s="90"/>
      <c r="M101" s="90"/>
      <c r="N101" s="90"/>
      <c r="O101" s="90"/>
    </row>
    <row r="102" spans="2:15">
      <c r="J102" s="101"/>
      <c r="K102" s="101"/>
      <c r="L102" s="101"/>
      <c r="M102" s="101"/>
      <c r="N102" s="101"/>
      <c r="O102" s="101"/>
    </row>
    <row r="103" spans="2:15">
      <c r="J103" s="101"/>
      <c r="K103" s="101"/>
      <c r="L103" s="101"/>
      <c r="M103" s="101"/>
      <c r="N103" s="101"/>
      <c r="O103" s="101"/>
    </row>
    <row r="104" spans="2:15">
      <c r="J104" s="101"/>
      <c r="K104" s="101"/>
      <c r="L104" s="101"/>
      <c r="M104" s="101"/>
      <c r="N104" s="101"/>
      <c r="O104" s="101"/>
    </row>
  </sheetData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9D1F82-9B5F-404A-B3F6-761A612995A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'BDA APRIL 2024 Q22'!J51:O51</xm:f>
              <xm:sqref>Q51</xm:sqref>
            </x14:sparkline>
            <x14:sparkline>
              <xm:f>'BDA APRIL 2024 Q22'!J52:O52</xm:f>
              <xm:sqref>Q52</xm:sqref>
            </x14:sparkline>
          </x14:sparklines>
        </x14:sparklineGroup>
        <x14:sparklineGroup displayEmptyCellsAs="gap" xr2:uid="{FA011EFB-B074-4646-B643-302EC0DA5A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'BDA APRIL 2024 Q22'!J53:O53</xm:f>
              <xm:sqref>Q53</xm:sqref>
            </x14:sparkline>
            <x14:sparkline>
              <xm:f>'BDA APRIL 2024 Q22'!J54:O54</xm:f>
              <xm:sqref>Q54</xm:sqref>
            </x14:sparkline>
            <x14:sparkline>
              <xm:f>'BDA APRIL 2024 Q22'!J55:O55</xm:f>
              <xm:sqref>Q55</xm:sqref>
            </x14:sparkline>
            <x14:sparkline>
              <xm:f>'BDA APRIL 2024 Q22'!J56:O56</xm:f>
              <xm:sqref>Q56</xm:sqref>
            </x14:sparkline>
            <x14:sparkline>
              <xm:f>'BDA APRIL 2024 Q22'!J57:O57</xm:f>
              <xm:sqref>Q57</xm:sqref>
            </x14:sparkline>
            <x14:sparkline>
              <xm:f>'BDA APRIL 2024 Q22'!J58:O58</xm:f>
              <xm:sqref>Q58</xm:sqref>
            </x14:sparkline>
            <x14:sparkline>
              <xm:f>'BDA APRIL 2024 Q22'!J59:O59</xm:f>
              <xm:sqref>Q59</xm:sqref>
            </x14:sparkline>
            <x14:sparkline>
              <xm:f>'BDA APRIL 2024 Q22'!J60:O60</xm:f>
              <xm:sqref>Q60</xm:sqref>
            </x14:sparkline>
            <x14:sparkline>
              <xm:f>'BDA APRIL 2024 Q22'!J61:O61</xm:f>
              <xm:sqref>Q61</xm:sqref>
            </x14:sparkline>
            <x14:sparkline>
              <xm:f>'BDA APRIL 2024 Q22'!J62:O62</xm:f>
              <xm:sqref>Q62</xm:sqref>
            </x14:sparkline>
            <x14:sparkline>
              <xm:f>'BDA APRIL 2024 Q22'!J63:O63</xm:f>
              <xm:sqref>Q63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B5EE-C0A6-4322-9548-2E4954B39685}">
  <dimension ref="A1:D58"/>
  <sheetViews>
    <sheetView topLeftCell="A46" workbookViewId="0">
      <selection activeCell="A3" sqref="A3:XFD5"/>
    </sheetView>
  </sheetViews>
  <sheetFormatPr defaultRowHeight="14.5"/>
  <cols>
    <col min="1" max="1" width="11.1796875" customWidth="1"/>
  </cols>
  <sheetData>
    <row r="1" spans="1:4" ht="15.5">
      <c r="A1" s="40"/>
      <c r="B1" s="40"/>
      <c r="C1" s="40"/>
      <c r="D1" s="40"/>
    </row>
    <row r="2" spans="1:4" ht="15.5">
      <c r="A2" s="40"/>
      <c r="B2" s="40"/>
      <c r="C2" s="40"/>
      <c r="D2" s="40"/>
    </row>
    <row r="3" spans="1:4" s="4" customFormat="1" ht="15.5">
      <c r="A3" s="42" t="s">
        <v>516</v>
      </c>
      <c r="B3" s="42"/>
      <c r="C3" s="42"/>
      <c r="D3" s="42"/>
    </row>
    <row r="4" spans="1:4" s="4" customFormat="1" ht="15.5">
      <c r="A4" s="42"/>
      <c r="B4" s="42"/>
      <c r="C4" s="42"/>
      <c r="D4" s="42"/>
    </row>
    <row r="5" spans="1:4" s="4" customFormat="1" ht="15.5">
      <c r="A5" s="42" t="s">
        <v>517</v>
      </c>
      <c r="B5" s="42"/>
      <c r="C5" s="42"/>
      <c r="D5" s="42"/>
    </row>
    <row r="6" spans="1:4" ht="15.5">
      <c r="A6" s="40"/>
      <c r="B6" s="40"/>
      <c r="C6" s="40"/>
      <c r="D6" s="40"/>
    </row>
    <row r="7" spans="1:4" ht="15.5">
      <c r="A7" s="40" t="s">
        <v>518</v>
      </c>
      <c r="B7" s="40"/>
      <c r="C7" s="40"/>
      <c r="D7" s="40"/>
    </row>
    <row r="8" spans="1:4" ht="15.5">
      <c r="A8" s="40"/>
      <c r="B8" s="40"/>
      <c r="C8" s="40"/>
      <c r="D8" s="40"/>
    </row>
    <row r="9" spans="1:4" ht="15.5">
      <c r="A9" s="40" t="s">
        <v>519</v>
      </c>
      <c r="B9" s="40"/>
      <c r="C9" s="40"/>
      <c r="D9" s="40"/>
    </row>
    <row r="10" spans="1:4" ht="15.5">
      <c r="A10" s="40"/>
      <c r="B10" s="40"/>
      <c r="C10" s="40"/>
      <c r="D10" s="40"/>
    </row>
    <row r="11" spans="1:4" ht="15.5">
      <c r="A11" s="40" t="s">
        <v>520</v>
      </c>
      <c r="B11" s="40"/>
      <c r="C11" s="40"/>
      <c r="D11" s="40"/>
    </row>
    <row r="12" spans="1:4" ht="15.5">
      <c r="A12" s="40" t="s">
        <v>521</v>
      </c>
      <c r="B12" s="40"/>
      <c r="C12" s="40"/>
      <c r="D12" s="40"/>
    </row>
    <row r="13" spans="1:4" ht="15.5">
      <c r="A13" s="40" t="s">
        <v>522</v>
      </c>
      <c r="B13" s="40"/>
      <c r="C13" s="40"/>
      <c r="D13" s="40"/>
    </row>
    <row r="14" spans="1:4" ht="15.5">
      <c r="A14" s="40" t="s">
        <v>515</v>
      </c>
      <c r="B14" s="40"/>
      <c r="C14" s="40"/>
      <c r="D14" s="40"/>
    </row>
    <row r="15" spans="1:4" ht="15.5">
      <c r="A15" s="40" t="s">
        <v>523</v>
      </c>
      <c r="B15" s="40"/>
      <c r="C15" s="40"/>
      <c r="D15" s="40"/>
    </row>
    <row r="16" spans="1:4" ht="15.5">
      <c r="A16" s="40" t="s">
        <v>524</v>
      </c>
      <c r="B16" s="40"/>
      <c r="C16" s="40"/>
      <c r="D16" s="40"/>
    </row>
    <row r="17" spans="1:4" ht="15.5">
      <c r="A17" s="40"/>
      <c r="B17" s="40"/>
      <c r="C17" s="40"/>
      <c r="D17" s="40"/>
    </row>
    <row r="18" spans="1:4" ht="15.5">
      <c r="A18" s="40" t="s">
        <v>525</v>
      </c>
      <c r="B18" s="40"/>
      <c r="C18" s="40"/>
      <c r="D18" s="40"/>
    </row>
    <row r="19" spans="1:4" ht="15.5">
      <c r="A19" s="40" t="s">
        <v>526</v>
      </c>
      <c r="B19" s="40"/>
      <c r="C19" s="40"/>
      <c r="D19" s="40"/>
    </row>
    <row r="20" spans="1:4" ht="15.5">
      <c r="A20" s="40" t="s">
        <v>515</v>
      </c>
      <c r="B20" s="40"/>
      <c r="C20" s="40"/>
      <c r="D20" s="40"/>
    </row>
    <row r="21" spans="1:4" ht="15.5">
      <c r="A21" s="40" t="s">
        <v>527</v>
      </c>
      <c r="B21" s="40"/>
      <c r="C21" s="40"/>
      <c r="D21" s="40"/>
    </row>
    <row r="22" spans="1:4" ht="15.5">
      <c r="A22" s="40" t="s">
        <v>528</v>
      </c>
      <c r="B22" s="40"/>
      <c r="C22" s="40"/>
      <c r="D22" s="40"/>
    </row>
    <row r="23" spans="1:4" ht="15.5">
      <c r="A23" s="40"/>
      <c r="B23" s="40"/>
      <c r="C23" s="40"/>
      <c r="D23" s="40"/>
    </row>
    <row r="24" spans="1:4" ht="15.5">
      <c r="A24" s="40" t="s">
        <v>529</v>
      </c>
      <c r="B24" s="40"/>
      <c r="C24" s="40"/>
      <c r="D24" s="40"/>
    </row>
    <row r="25" spans="1:4" ht="15.5">
      <c r="A25" s="40" t="s">
        <v>530</v>
      </c>
      <c r="B25" s="40"/>
      <c r="C25" s="40"/>
      <c r="D25" s="40"/>
    </row>
    <row r="26" spans="1:4" ht="15.5">
      <c r="A26" s="40" t="s">
        <v>531</v>
      </c>
      <c r="B26" s="40"/>
      <c r="C26" s="40"/>
      <c r="D26" s="40"/>
    </row>
    <row r="27" spans="1:4" ht="15.5">
      <c r="A27" s="40"/>
      <c r="B27" s="40"/>
      <c r="C27" s="40"/>
      <c r="D27" s="40"/>
    </row>
    <row r="28" spans="1:4" ht="15.5">
      <c r="A28" s="40" t="s">
        <v>532</v>
      </c>
      <c r="B28" s="40"/>
      <c r="C28" s="40"/>
      <c r="D28" s="40"/>
    </row>
    <row r="29" spans="1:4" ht="15.5">
      <c r="A29" s="40" t="s">
        <v>533</v>
      </c>
      <c r="B29" s="40"/>
      <c r="C29" s="40"/>
      <c r="D29" s="40"/>
    </row>
    <row r="30" spans="1:4" ht="15.5">
      <c r="A30" s="40" t="s">
        <v>534</v>
      </c>
      <c r="B30" s="40"/>
      <c r="C30" s="40"/>
      <c r="D30" s="40"/>
    </row>
    <row r="31" spans="1:4" ht="15.5">
      <c r="A31" s="40" t="s">
        <v>515</v>
      </c>
      <c r="B31" s="40"/>
      <c r="C31" s="40"/>
      <c r="D31" s="40"/>
    </row>
    <row r="32" spans="1:4" ht="15.5">
      <c r="A32" s="40" t="s">
        <v>535</v>
      </c>
      <c r="B32" s="40"/>
      <c r="C32" s="40"/>
      <c r="D32" s="40"/>
    </row>
    <row r="33" spans="1:4" ht="15.5">
      <c r="A33" s="40" t="s">
        <v>536</v>
      </c>
      <c r="B33" s="40"/>
      <c r="C33" s="40"/>
      <c r="D33" s="40"/>
    </row>
    <row r="34" spans="1:4" ht="15.5">
      <c r="A34" s="40" t="s">
        <v>537</v>
      </c>
      <c r="B34" s="40"/>
      <c r="C34" s="40"/>
      <c r="D34" s="40"/>
    </row>
    <row r="35" spans="1:4" ht="15.5">
      <c r="A35" s="40" t="s">
        <v>538</v>
      </c>
      <c r="B35" s="40"/>
      <c r="C35" s="40"/>
      <c r="D35" s="40"/>
    </row>
    <row r="36" spans="1:4" ht="15.5">
      <c r="A36" s="40"/>
      <c r="B36" s="40"/>
      <c r="C36" s="40"/>
      <c r="D36" s="40"/>
    </row>
    <row r="37" spans="1:4" ht="15.5">
      <c r="A37" s="40" t="s">
        <v>539</v>
      </c>
      <c r="B37" s="40"/>
      <c r="C37" s="40"/>
      <c r="D37" s="40"/>
    </row>
    <row r="38" spans="1:4" ht="15.5">
      <c r="A38" s="40"/>
      <c r="B38" s="40"/>
      <c r="C38" s="40"/>
      <c r="D38" s="40"/>
    </row>
    <row r="39" spans="1:4" ht="15.5">
      <c r="A39" s="40" t="s">
        <v>540</v>
      </c>
      <c r="B39" s="40"/>
      <c r="C39" s="40"/>
      <c r="D39" s="40"/>
    </row>
    <row r="40" spans="1:4" ht="15.5">
      <c r="A40" s="40"/>
      <c r="B40" s="40"/>
      <c r="C40" s="40"/>
      <c r="D40" s="40"/>
    </row>
    <row r="41" spans="1:4" ht="15.5">
      <c r="A41" s="40" t="s">
        <v>541</v>
      </c>
      <c r="B41" s="40"/>
      <c r="C41" s="40"/>
      <c r="D41" s="40"/>
    </row>
    <row r="42" spans="1:4" ht="15.5">
      <c r="A42" s="40"/>
      <c r="B42" s="40"/>
      <c r="C42" s="40"/>
      <c r="D42" s="40"/>
    </row>
    <row r="43" spans="1:4" ht="15.5">
      <c r="A43" s="40" t="s">
        <v>542</v>
      </c>
      <c r="B43" s="40"/>
      <c r="C43" s="40"/>
      <c r="D43" s="40"/>
    </row>
    <row r="44" spans="1:4" ht="15.5">
      <c r="A44" s="40" t="s">
        <v>543</v>
      </c>
      <c r="B44" s="40"/>
      <c r="C44" s="40"/>
      <c r="D44" s="40"/>
    </row>
    <row r="45" spans="1:4" ht="15.5">
      <c r="A45" s="40"/>
      <c r="B45" s="40"/>
      <c r="C45" s="40"/>
      <c r="D45" s="40"/>
    </row>
    <row r="46" spans="1:4" ht="15.5">
      <c r="A46" s="40" t="s">
        <v>544</v>
      </c>
      <c r="B46" s="40"/>
      <c r="C46" s="40"/>
      <c r="D46" s="40"/>
    </row>
    <row r="47" spans="1:4" ht="15.5">
      <c r="A47" s="40"/>
      <c r="B47" s="40"/>
      <c r="C47" s="40"/>
      <c r="D47" s="40"/>
    </row>
    <row r="48" spans="1:4" ht="15.5">
      <c r="A48" s="40" t="s">
        <v>545</v>
      </c>
      <c r="B48" s="40"/>
      <c r="C48" s="40"/>
      <c r="D48" s="40"/>
    </row>
    <row r="49" spans="1:4" ht="15.5">
      <c r="A49" s="40" t="s">
        <v>546</v>
      </c>
      <c r="B49" s="40"/>
      <c r="C49" s="40"/>
      <c r="D49" s="40"/>
    </row>
    <row r="50" spans="1:4" ht="15.5">
      <c r="A50" s="40"/>
      <c r="B50" s="40"/>
      <c r="C50" s="40"/>
      <c r="D50" s="40"/>
    </row>
    <row r="51" spans="1:4" ht="15.5">
      <c r="A51" s="40" t="s">
        <v>547</v>
      </c>
      <c r="B51" s="40"/>
      <c r="C51" s="40"/>
      <c r="D51" s="40"/>
    </row>
    <row r="52" spans="1:4" ht="15.5">
      <c r="A52" s="40" t="s">
        <v>548</v>
      </c>
      <c r="B52" s="40"/>
      <c r="C52" s="40"/>
      <c r="D52" s="40"/>
    </row>
    <row r="53" spans="1:4" ht="15.5">
      <c r="A53" s="40"/>
      <c r="B53" s="40"/>
      <c r="C53" s="40"/>
      <c r="D53" s="40"/>
    </row>
    <row r="54" spans="1:4" ht="15.5">
      <c r="A54" s="40" t="s">
        <v>47</v>
      </c>
      <c r="B54" s="40"/>
      <c r="C54" s="40"/>
      <c r="D54" s="40"/>
    </row>
    <row r="55" spans="1:4" ht="15.5">
      <c r="A55" s="40" t="s">
        <v>549</v>
      </c>
    </row>
    <row r="56" spans="1:4" ht="15.5">
      <c r="A56" s="40" t="s">
        <v>550</v>
      </c>
    </row>
    <row r="57" spans="1:4" ht="15.5">
      <c r="A57" s="40" t="s">
        <v>551</v>
      </c>
    </row>
    <row r="58" spans="1:4" ht="15.5">
      <c r="A58" s="40" t="s">
        <v>552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D7BB-3D46-480B-95FF-4D64109DCE5B}">
  <dimension ref="A1:N67"/>
  <sheetViews>
    <sheetView workbookViewId="0">
      <selection activeCell="C73" sqref="C73"/>
    </sheetView>
  </sheetViews>
  <sheetFormatPr defaultColWidth="9.1796875" defaultRowHeight="15.5"/>
  <cols>
    <col min="1" max="1" width="47.81640625" style="41" customWidth="1"/>
    <col min="2" max="2" width="15.7265625" style="41" customWidth="1"/>
    <col min="3" max="3" width="16.81640625" style="41" customWidth="1"/>
    <col min="4" max="16384" width="9.1796875" style="41"/>
  </cols>
  <sheetData>
    <row r="1" spans="1:11">
      <c r="A1" s="120"/>
      <c r="B1" s="120"/>
      <c r="C1" s="120"/>
      <c r="D1" s="214" t="s">
        <v>265</v>
      </c>
      <c r="E1" s="214"/>
      <c r="F1" s="214"/>
      <c r="G1" s="214"/>
      <c r="H1" s="214"/>
      <c r="I1" s="214"/>
      <c r="J1" s="120"/>
      <c r="K1" s="120"/>
    </row>
    <row r="2" spans="1:1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42" t="s">
        <v>266</v>
      </c>
      <c r="B3" s="40"/>
      <c r="C3" s="40"/>
      <c r="D3" s="40"/>
      <c r="E3" s="40"/>
      <c r="F3" s="40"/>
      <c r="G3" s="40"/>
      <c r="H3" s="40"/>
      <c r="I3" s="40"/>
      <c r="J3" s="40"/>
    </row>
    <row r="4" spans="1:11">
      <c r="A4" s="42"/>
      <c r="B4" s="40"/>
      <c r="C4" s="40"/>
      <c r="D4" s="40"/>
      <c r="E4" s="40"/>
      <c r="F4" s="40"/>
      <c r="G4" s="40"/>
      <c r="H4" s="40"/>
      <c r="I4" s="40"/>
      <c r="J4" s="40"/>
    </row>
    <row r="5" spans="1:11">
      <c r="A5" s="122" t="s">
        <v>143</v>
      </c>
      <c r="B5" s="122"/>
      <c r="C5" s="122"/>
      <c r="D5" s="122"/>
      <c r="E5" s="122"/>
      <c r="F5" s="122"/>
      <c r="G5" s="122"/>
      <c r="H5" s="40"/>
      <c r="I5" s="40"/>
      <c r="J5" s="40"/>
    </row>
    <row r="6" spans="1:11">
      <c r="A6" s="40" t="s">
        <v>380</v>
      </c>
      <c r="B6" s="40"/>
      <c r="C6" s="40"/>
      <c r="D6" s="122"/>
      <c r="E6" s="122"/>
      <c r="F6" s="122"/>
      <c r="G6" s="122"/>
    </row>
    <row r="7" spans="1:11">
      <c r="A7" s="40" t="s">
        <v>381</v>
      </c>
      <c r="B7" s="40"/>
      <c r="C7" s="40"/>
      <c r="D7" s="122"/>
      <c r="E7" s="122"/>
      <c r="F7" s="122"/>
      <c r="G7" s="122"/>
    </row>
    <row r="8" spans="1:11">
      <c r="A8" s="40" t="s">
        <v>382</v>
      </c>
      <c r="B8" s="91"/>
      <c r="C8" s="91"/>
      <c r="D8" s="40"/>
      <c r="E8" s="40"/>
      <c r="F8" s="40"/>
      <c r="G8" s="40"/>
    </row>
    <row r="9" spans="1:11">
      <c r="A9" s="40" t="s">
        <v>383</v>
      </c>
      <c r="B9" s="101"/>
      <c r="C9" s="101"/>
      <c r="D9" s="122"/>
      <c r="E9" s="122"/>
      <c r="F9" s="122"/>
      <c r="G9" s="122"/>
    </row>
    <row r="10" spans="1:11">
      <c r="A10" s="40"/>
      <c r="B10" s="101"/>
      <c r="C10" s="101"/>
      <c r="D10" s="122"/>
      <c r="E10" s="122"/>
      <c r="F10" s="122"/>
      <c r="G10" s="122"/>
    </row>
    <row r="11" spans="1:11">
      <c r="A11" s="40" t="s">
        <v>384</v>
      </c>
      <c r="B11" s="101"/>
      <c r="C11" s="101"/>
      <c r="D11" s="122"/>
      <c r="E11" s="122"/>
      <c r="F11" s="122"/>
      <c r="G11" s="122"/>
    </row>
    <row r="12" spans="1:11">
      <c r="A12" s="40"/>
      <c r="B12" s="101"/>
      <c r="C12" s="101"/>
      <c r="D12" s="122"/>
      <c r="E12" s="122"/>
      <c r="F12" s="122"/>
      <c r="G12" s="122"/>
    </row>
    <row r="13" spans="1:11">
      <c r="A13" s="42" t="s">
        <v>385</v>
      </c>
      <c r="B13" s="101"/>
      <c r="C13" s="101"/>
      <c r="D13" s="122"/>
      <c r="E13" s="122"/>
      <c r="F13" s="122"/>
      <c r="G13" s="122"/>
    </row>
    <row r="14" spans="1:11">
      <c r="A14" s="40"/>
      <c r="B14" s="101"/>
      <c r="C14" s="101"/>
      <c r="D14" s="122"/>
      <c r="E14" s="122"/>
      <c r="F14" s="122"/>
      <c r="G14" s="122"/>
    </row>
    <row r="15" spans="1:11">
      <c r="A15" s="40"/>
      <c r="B15" s="91" t="s">
        <v>386</v>
      </c>
      <c r="C15" s="91" t="s">
        <v>387</v>
      </c>
      <c r="D15" s="122"/>
      <c r="E15" s="122"/>
      <c r="F15" s="122"/>
      <c r="G15" s="122"/>
    </row>
    <row r="16" spans="1:11">
      <c r="A16" s="40"/>
      <c r="B16" s="91" t="s">
        <v>388</v>
      </c>
      <c r="C16" s="91" t="s">
        <v>388</v>
      </c>
      <c r="D16" s="122"/>
      <c r="E16" s="122"/>
      <c r="F16" s="122"/>
      <c r="G16" s="122"/>
    </row>
    <row r="17" spans="1:10">
      <c r="A17" s="40" t="s">
        <v>20</v>
      </c>
      <c r="B17" s="123">
        <v>87500</v>
      </c>
      <c r="C17" s="123">
        <v>140000</v>
      </c>
      <c r="D17" s="122"/>
      <c r="E17" s="122"/>
      <c r="F17" s="122"/>
      <c r="G17" s="122"/>
    </row>
    <row r="18" spans="1:10" ht="17">
      <c r="A18" s="40" t="s">
        <v>21</v>
      </c>
      <c r="B18" s="124">
        <v>66500</v>
      </c>
      <c r="C18" s="124">
        <v>114800</v>
      </c>
      <c r="D18" s="122"/>
      <c r="E18" s="122"/>
      <c r="F18" s="122"/>
      <c r="G18" s="122"/>
    </row>
    <row r="19" spans="1:10">
      <c r="A19" s="40" t="s">
        <v>22</v>
      </c>
      <c r="B19" s="123">
        <v>21000</v>
      </c>
      <c r="C19" s="123">
        <v>25200</v>
      </c>
      <c r="D19" s="122"/>
      <c r="E19" s="122"/>
      <c r="F19" s="122"/>
      <c r="G19" s="122"/>
    </row>
    <row r="20" spans="1:10">
      <c r="A20" s="40" t="s">
        <v>389</v>
      </c>
      <c r="B20" s="123">
        <v>1495</v>
      </c>
      <c r="C20" s="123">
        <v>2710</v>
      </c>
      <c r="D20" s="122"/>
      <c r="E20" s="122"/>
      <c r="F20" s="122"/>
      <c r="G20" s="122"/>
    </row>
    <row r="21" spans="1:10" ht="17">
      <c r="A21" s="40" t="s">
        <v>390</v>
      </c>
      <c r="B21" s="125">
        <v>2880</v>
      </c>
      <c r="C21" s="125">
        <v>5340</v>
      </c>
      <c r="D21" s="122"/>
      <c r="E21" s="122"/>
      <c r="F21" s="122"/>
      <c r="G21" s="122"/>
    </row>
    <row r="22" spans="1:10">
      <c r="A22" s="40" t="s">
        <v>90</v>
      </c>
      <c r="B22" s="123">
        <v>16625</v>
      </c>
      <c r="C22" s="123">
        <v>17150</v>
      </c>
      <c r="D22" s="122"/>
      <c r="E22" s="122"/>
      <c r="F22" s="122"/>
      <c r="G22" s="122"/>
    </row>
    <row r="23" spans="1:10" ht="17">
      <c r="A23" s="40" t="s">
        <v>93</v>
      </c>
      <c r="B23" s="125">
        <v>875</v>
      </c>
      <c r="C23" s="125">
        <v>3150</v>
      </c>
      <c r="D23" s="122"/>
      <c r="E23" s="122"/>
      <c r="F23" s="122"/>
      <c r="G23" s="122"/>
    </row>
    <row r="24" spans="1:10">
      <c r="A24" s="40" t="s">
        <v>26</v>
      </c>
      <c r="B24" s="123">
        <v>15750</v>
      </c>
      <c r="C24" s="123">
        <v>14000</v>
      </c>
      <c r="D24" s="122"/>
      <c r="E24" s="122"/>
      <c r="F24" s="122"/>
      <c r="G24" s="122"/>
    </row>
    <row r="25" spans="1:10" ht="17">
      <c r="A25" s="40" t="s">
        <v>27</v>
      </c>
      <c r="B25" s="124">
        <v>3150</v>
      </c>
      <c r="C25" s="124">
        <v>3500</v>
      </c>
      <c r="D25" s="122"/>
      <c r="E25" s="122"/>
      <c r="F25" s="122"/>
      <c r="G25" s="122"/>
    </row>
    <row r="26" spans="1:10" ht="17">
      <c r="A26" s="40" t="s">
        <v>378</v>
      </c>
      <c r="B26" s="126">
        <v>12600</v>
      </c>
      <c r="C26" s="126">
        <v>10500</v>
      </c>
      <c r="D26" s="122"/>
      <c r="E26" s="122"/>
      <c r="F26" s="122"/>
      <c r="G26" s="122"/>
    </row>
    <row r="27" spans="1:10">
      <c r="A27" s="40"/>
      <c r="B27" s="40"/>
      <c r="C27" s="40"/>
      <c r="D27" s="122"/>
      <c r="E27" s="122"/>
      <c r="F27" s="122"/>
      <c r="G27" s="122"/>
    </row>
    <row r="28" spans="1:10">
      <c r="A28" s="42" t="s">
        <v>391</v>
      </c>
      <c r="B28" s="40"/>
      <c r="C28" s="40"/>
      <c r="D28" s="122"/>
      <c r="E28" s="122"/>
      <c r="F28" s="122"/>
      <c r="G28" s="122"/>
    </row>
    <row r="29" spans="1:10">
      <c r="A29" s="40"/>
      <c r="B29" s="40"/>
      <c r="C29" s="40"/>
      <c r="D29" s="122"/>
      <c r="E29" s="122"/>
      <c r="F29" s="122"/>
      <c r="G29" s="122"/>
    </row>
    <row r="30" spans="1:10">
      <c r="A30" s="40"/>
      <c r="B30" s="91" t="s">
        <v>386</v>
      </c>
      <c r="C30" s="91" t="s">
        <v>387</v>
      </c>
      <c r="D30" s="122"/>
      <c r="E30" s="122"/>
      <c r="F30" s="122"/>
      <c r="G30" s="122"/>
    </row>
    <row r="31" spans="1:10">
      <c r="A31" s="42" t="s">
        <v>67</v>
      </c>
      <c r="B31" s="91" t="s">
        <v>388</v>
      </c>
      <c r="C31" s="91" t="s">
        <v>388</v>
      </c>
      <c r="D31" s="122"/>
      <c r="E31" s="122"/>
      <c r="F31" s="122"/>
      <c r="G31" s="122"/>
      <c r="J31" s="127"/>
    </row>
    <row r="32" spans="1:10">
      <c r="A32" s="42" t="s">
        <v>95</v>
      </c>
      <c r="B32" s="128"/>
      <c r="C32" s="128"/>
      <c r="D32" s="122"/>
      <c r="E32" s="122"/>
      <c r="F32" s="122"/>
      <c r="G32" s="122"/>
      <c r="J32" s="129"/>
    </row>
    <row r="33" spans="1:10">
      <c r="A33" s="40" t="s">
        <v>392</v>
      </c>
      <c r="B33" s="123">
        <v>9800</v>
      </c>
      <c r="C33" s="123">
        <v>10500</v>
      </c>
      <c r="D33" s="40"/>
      <c r="E33" s="122"/>
      <c r="F33" s="122"/>
      <c r="G33" s="122"/>
    </row>
    <row r="34" spans="1:10">
      <c r="A34" s="40" t="s">
        <v>393</v>
      </c>
      <c r="B34" s="123">
        <v>7000</v>
      </c>
      <c r="C34" s="123">
        <v>8050</v>
      </c>
      <c r="D34" s="40"/>
      <c r="E34" s="122"/>
      <c r="F34" s="122"/>
      <c r="G34" s="122"/>
    </row>
    <row r="35" spans="1:10" ht="17">
      <c r="A35" s="40" t="s">
        <v>394</v>
      </c>
      <c r="B35" s="125">
        <v>0</v>
      </c>
      <c r="C35" s="125">
        <v>17500</v>
      </c>
      <c r="D35" s="40"/>
      <c r="E35" s="122"/>
      <c r="F35" s="122"/>
      <c r="G35" s="122"/>
    </row>
    <row r="36" spans="1:10" ht="17">
      <c r="A36" s="40"/>
      <c r="B36" s="124">
        <v>16800</v>
      </c>
      <c r="C36" s="124">
        <v>36050</v>
      </c>
      <c r="D36" s="40"/>
      <c r="E36" s="122"/>
      <c r="F36" s="122"/>
      <c r="G36" s="122"/>
    </row>
    <row r="37" spans="1:10">
      <c r="A37" s="42" t="s">
        <v>31</v>
      </c>
      <c r="D37" s="40"/>
      <c r="E37" s="122"/>
      <c r="F37" s="122"/>
      <c r="G37" s="122"/>
      <c r="J37" s="91"/>
    </row>
    <row r="38" spans="1:10">
      <c r="A38" s="40" t="s">
        <v>32</v>
      </c>
      <c r="B38" s="123">
        <v>5600</v>
      </c>
      <c r="C38" s="130">
        <v>11900</v>
      </c>
      <c r="D38" s="40"/>
      <c r="E38" s="122"/>
      <c r="F38" s="122"/>
      <c r="G38" s="122"/>
    </row>
    <row r="39" spans="1:10">
      <c r="A39" s="40" t="s">
        <v>71</v>
      </c>
      <c r="B39" s="123">
        <v>7350</v>
      </c>
      <c r="C39" s="130">
        <v>17850</v>
      </c>
      <c r="D39" s="40"/>
      <c r="E39" s="122"/>
      <c r="F39" s="122"/>
      <c r="G39" s="122"/>
    </row>
    <row r="40" spans="1:10" ht="17">
      <c r="A40" s="40" t="s">
        <v>395</v>
      </c>
      <c r="B40" s="125">
        <v>3850</v>
      </c>
      <c r="C40" s="124">
        <v>700</v>
      </c>
      <c r="D40" s="40"/>
    </row>
    <row r="41" spans="1:10" ht="18">
      <c r="A41" s="42" t="s">
        <v>34</v>
      </c>
      <c r="B41" s="131">
        <v>33600</v>
      </c>
      <c r="C41" s="131">
        <v>66500</v>
      </c>
      <c r="D41" s="40"/>
    </row>
    <row r="42" spans="1:10">
      <c r="A42" s="42" t="s">
        <v>35</v>
      </c>
      <c r="D42" s="40"/>
    </row>
    <row r="43" spans="1:10">
      <c r="A43" s="42" t="s">
        <v>104</v>
      </c>
      <c r="B43" s="123"/>
      <c r="C43" s="130"/>
      <c r="D43" s="40"/>
    </row>
    <row r="44" spans="1:10">
      <c r="A44" s="40" t="s">
        <v>396</v>
      </c>
      <c r="B44" s="123">
        <v>3500</v>
      </c>
      <c r="C44" s="130">
        <v>7000</v>
      </c>
      <c r="D44" s="40"/>
    </row>
    <row r="45" spans="1:10">
      <c r="A45" s="40" t="s">
        <v>397</v>
      </c>
      <c r="B45" s="123">
        <v>1750</v>
      </c>
      <c r="C45" s="130">
        <v>3150</v>
      </c>
      <c r="D45" s="40"/>
    </row>
    <row r="46" spans="1:10" ht="17">
      <c r="A46" s="40" t="s">
        <v>38</v>
      </c>
      <c r="B46" s="125">
        <v>5600</v>
      </c>
      <c r="C46" s="124">
        <v>9450</v>
      </c>
      <c r="D46" s="40"/>
    </row>
    <row r="47" spans="1:10" ht="17">
      <c r="A47" s="40" t="s">
        <v>398</v>
      </c>
      <c r="B47" s="124">
        <v>10850</v>
      </c>
      <c r="C47" s="124">
        <v>19600</v>
      </c>
      <c r="D47" s="40"/>
      <c r="J47" s="132"/>
    </row>
    <row r="48" spans="1:10">
      <c r="A48" s="42" t="s">
        <v>39</v>
      </c>
      <c r="B48" s="123"/>
      <c r="C48" s="123"/>
      <c r="D48" s="40"/>
      <c r="J48" s="132"/>
    </row>
    <row r="49" spans="1:14">
      <c r="A49" s="40" t="s">
        <v>399</v>
      </c>
      <c r="B49" s="123">
        <v>0</v>
      </c>
      <c r="C49" s="123">
        <v>14700</v>
      </c>
      <c r="D49" s="40"/>
      <c r="J49" s="132"/>
    </row>
    <row r="50" spans="1:14">
      <c r="A50" s="40" t="s">
        <v>400</v>
      </c>
      <c r="B50" s="123">
        <v>15750</v>
      </c>
      <c r="C50" s="123">
        <v>17500</v>
      </c>
      <c r="D50" s="40"/>
    </row>
    <row r="51" spans="1:14">
      <c r="A51" s="42" t="s">
        <v>40</v>
      </c>
      <c r="B51" s="123"/>
      <c r="C51" s="123"/>
      <c r="D51" s="40"/>
    </row>
    <row r="52" spans="1:14">
      <c r="A52" s="40" t="s">
        <v>41</v>
      </c>
      <c r="B52" s="123">
        <v>4375</v>
      </c>
      <c r="C52" s="123">
        <v>7350</v>
      </c>
      <c r="D52" s="40"/>
    </row>
    <row r="53" spans="1:14">
      <c r="A53" s="40" t="s">
        <v>399</v>
      </c>
      <c r="B53" s="123">
        <v>0</v>
      </c>
      <c r="C53" s="123">
        <v>2450</v>
      </c>
      <c r="D53" s="40"/>
    </row>
    <row r="54" spans="1:14" ht="17">
      <c r="A54" s="40" t="s">
        <v>42</v>
      </c>
      <c r="B54" s="125">
        <v>2625</v>
      </c>
      <c r="C54" s="125">
        <v>4900</v>
      </c>
      <c r="D54" s="40"/>
    </row>
    <row r="55" spans="1:14" ht="18">
      <c r="A55" s="42" t="s">
        <v>44</v>
      </c>
      <c r="B55" s="131">
        <v>33600</v>
      </c>
      <c r="C55" s="131">
        <v>66500</v>
      </c>
      <c r="D55" s="40"/>
    </row>
    <row r="56" spans="1:14">
      <c r="A56" s="40"/>
      <c r="B56" s="40"/>
      <c r="C56" s="40"/>
      <c r="D56" s="40"/>
    </row>
    <row r="57" spans="1:14">
      <c r="A57" s="42" t="s">
        <v>47</v>
      </c>
      <c r="B57" s="40"/>
      <c r="C57" s="40"/>
      <c r="D57" s="40"/>
    </row>
    <row r="58" spans="1:14">
      <c r="A58" s="40" t="s">
        <v>401</v>
      </c>
      <c r="B58" s="40"/>
      <c r="C58" s="40"/>
      <c r="D58" s="40"/>
      <c r="N58" s="129" t="s">
        <v>402</v>
      </c>
    </row>
    <row r="59" spans="1:14">
      <c r="A59" s="40" t="s">
        <v>403</v>
      </c>
      <c r="B59" s="40"/>
      <c r="C59" s="40"/>
      <c r="D59" s="40"/>
      <c r="N59" s="129" t="s">
        <v>404</v>
      </c>
    </row>
    <row r="60" spans="1:14">
      <c r="A60" s="40" t="s">
        <v>405</v>
      </c>
      <c r="B60" s="40"/>
      <c r="C60" s="40"/>
      <c r="D60" s="40"/>
      <c r="N60" s="129" t="s">
        <v>406</v>
      </c>
    </row>
    <row r="61" spans="1:14">
      <c r="A61" s="40"/>
      <c r="B61" s="40"/>
      <c r="C61" s="40"/>
      <c r="D61" s="40"/>
      <c r="L61" s="42" t="s">
        <v>407</v>
      </c>
      <c r="M61" s="133"/>
      <c r="N61" s="133"/>
    </row>
    <row r="62" spans="1:14">
      <c r="A62" s="40"/>
      <c r="B62" s="40"/>
      <c r="C62" s="40"/>
      <c r="D62" s="40"/>
    </row>
    <row r="63" spans="1:14">
      <c r="A63" s="40"/>
      <c r="B63" s="40"/>
      <c r="C63" s="40"/>
      <c r="D63" s="40"/>
    </row>
    <row r="64" spans="1:14">
      <c r="G64" s="122"/>
    </row>
    <row r="65" spans="7:13">
      <c r="L65" s="42" t="s">
        <v>408</v>
      </c>
      <c r="M65" s="40"/>
    </row>
    <row r="66" spans="7:13">
      <c r="G66" s="121"/>
      <c r="L66" s="42" t="s">
        <v>409</v>
      </c>
      <c r="M66" s="40"/>
    </row>
    <row r="67" spans="7:13">
      <c r="G67" s="121"/>
    </row>
  </sheetData>
  <mergeCells count="2">
    <mergeCell ref="D1:I1"/>
    <mergeCell ref="A2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7A71-6961-4200-9D5B-9620E25D73E0}">
  <dimension ref="A1:M92"/>
  <sheetViews>
    <sheetView workbookViewId="0">
      <selection activeCell="G21" sqref="G21"/>
    </sheetView>
  </sheetViews>
  <sheetFormatPr defaultRowHeight="15.5"/>
  <cols>
    <col min="1" max="1" width="59.26953125" style="41" customWidth="1"/>
    <col min="2" max="2" width="18.453125" style="41" bestFit="1" customWidth="1"/>
    <col min="3" max="3" width="11" style="41" customWidth="1"/>
    <col min="4" max="4" width="9.7265625" style="41" bestFit="1" customWidth="1"/>
    <col min="5" max="5" width="10.54296875" style="41" customWidth="1"/>
    <col min="6" max="7" width="10.90625" style="41" customWidth="1"/>
    <col min="8" max="8" width="9.1796875" style="41" customWidth="1"/>
    <col min="9" max="10" width="8.7265625" style="41"/>
    <col min="11" max="11" width="10.81640625" style="41" customWidth="1"/>
    <col min="12" max="12" width="9.1796875" style="41" customWidth="1"/>
    <col min="13" max="13" width="14.7265625" style="41" bestFit="1" customWidth="1"/>
    <col min="14" max="16384" width="8.7265625" style="41"/>
  </cols>
  <sheetData>
    <row r="1" spans="1:13">
      <c r="A1" s="134"/>
      <c r="B1" s="42"/>
      <c r="C1" s="42"/>
      <c r="D1" s="42"/>
      <c r="E1" s="42"/>
      <c r="F1" s="42"/>
      <c r="G1" s="42"/>
      <c r="H1" s="134"/>
      <c r="I1" s="134"/>
    </row>
    <row r="2" spans="1:13">
      <c r="A2" s="42"/>
      <c r="B2" s="42"/>
      <c r="C2" s="42"/>
      <c r="D2" s="42"/>
      <c r="E2" s="42"/>
      <c r="F2" s="205"/>
      <c r="G2" s="206"/>
      <c r="H2" s="42"/>
      <c r="I2" s="42"/>
    </row>
    <row r="3" spans="1:13">
      <c r="A3" s="42" t="s">
        <v>266</v>
      </c>
      <c r="B3" s="40"/>
      <c r="C3" s="40"/>
      <c r="D3" s="40"/>
      <c r="E3" s="40"/>
      <c r="F3" s="40"/>
      <c r="G3" s="51"/>
      <c r="H3" s="40"/>
    </row>
    <row r="4" spans="1:13">
      <c r="A4" s="42"/>
      <c r="B4" s="40"/>
      <c r="C4" s="40"/>
      <c r="D4" s="40"/>
      <c r="E4" s="40"/>
      <c r="F4" s="207"/>
      <c r="G4" s="182"/>
      <c r="H4" s="40"/>
    </row>
    <row r="5" spans="1:13">
      <c r="A5" s="122" t="s">
        <v>410</v>
      </c>
      <c r="B5" s="122"/>
      <c r="C5" s="122"/>
      <c r="D5" s="122"/>
      <c r="E5" s="122"/>
      <c r="F5" s="40"/>
      <c r="G5" s="40"/>
      <c r="H5" s="40"/>
      <c r="M5" s="41" t="s">
        <v>732</v>
      </c>
    </row>
    <row r="6" spans="1:13">
      <c r="A6" s="40" t="s">
        <v>411</v>
      </c>
      <c r="B6" s="122"/>
      <c r="C6" s="122"/>
      <c r="D6" s="122"/>
      <c r="E6" s="122"/>
      <c r="M6" s="41" t="s">
        <v>733</v>
      </c>
    </row>
    <row r="7" spans="1:13">
      <c r="A7" s="40"/>
      <c r="B7" s="122"/>
      <c r="C7" s="122"/>
      <c r="D7" s="122"/>
      <c r="E7" s="122"/>
    </row>
    <row r="8" spans="1:13">
      <c r="A8" s="42" t="s">
        <v>412</v>
      </c>
      <c r="B8" s="42">
        <v>2024</v>
      </c>
      <c r="C8" s="42">
        <v>2025</v>
      </c>
      <c r="D8" s="42">
        <v>2026</v>
      </c>
      <c r="E8" s="42">
        <v>2027</v>
      </c>
      <c r="F8" s="42">
        <v>2028</v>
      </c>
      <c r="G8" s="42">
        <v>2029</v>
      </c>
      <c r="H8" s="40"/>
      <c r="M8" s="41" t="s">
        <v>734</v>
      </c>
    </row>
    <row r="9" spans="1:13">
      <c r="A9" s="42" t="s">
        <v>413</v>
      </c>
      <c r="B9" s="144" t="s">
        <v>414</v>
      </c>
      <c r="C9" s="144" t="s">
        <v>414</v>
      </c>
      <c r="D9" s="144" t="s">
        <v>414</v>
      </c>
      <c r="E9" s="144" t="s">
        <v>414</v>
      </c>
      <c r="F9" s="144" t="s">
        <v>414</v>
      </c>
      <c r="G9" s="144" t="s">
        <v>414</v>
      </c>
    </row>
    <row r="10" spans="1:13">
      <c r="A10" s="40" t="s">
        <v>415</v>
      </c>
      <c r="B10" s="145">
        <v>4500</v>
      </c>
      <c r="C10" s="204">
        <f>(1+10%)*B10</f>
        <v>4950</v>
      </c>
      <c r="D10" s="204">
        <f t="shared" ref="D10:G10" si="0">(1+10%)*C10</f>
        <v>5445</v>
      </c>
      <c r="E10" s="204">
        <f t="shared" si="0"/>
        <v>5989.5000000000009</v>
      </c>
      <c r="F10" s="204">
        <f t="shared" si="0"/>
        <v>6588.4500000000016</v>
      </c>
      <c r="G10" s="204">
        <f t="shared" si="0"/>
        <v>7247.2950000000028</v>
      </c>
    </row>
    <row r="11" spans="1:13">
      <c r="A11" s="42" t="s">
        <v>416</v>
      </c>
      <c r="B11" s="146"/>
      <c r="C11" s="122"/>
      <c r="D11" s="122"/>
      <c r="E11" s="122"/>
      <c r="M11" s="41" t="s">
        <v>736</v>
      </c>
    </row>
    <row r="12" spans="1:13">
      <c r="A12" s="40" t="s">
        <v>417</v>
      </c>
      <c r="B12" s="145">
        <v>600</v>
      </c>
      <c r="C12" s="145">
        <f>-B15</f>
        <v>660</v>
      </c>
      <c r="D12" s="122"/>
      <c r="E12" s="122"/>
      <c r="M12" s="41" t="s">
        <v>737</v>
      </c>
    </row>
    <row r="13" spans="1:13" ht="17">
      <c r="A13" s="40" t="s">
        <v>418</v>
      </c>
      <c r="B13" s="147">
        <v>3260</v>
      </c>
      <c r="C13" s="204">
        <f>(1+10%)*B13</f>
        <v>3586.0000000000005</v>
      </c>
      <c r="D13" s="204">
        <f t="shared" ref="D13:G13" si="1">(1+10%)*C13</f>
        <v>3944.6000000000008</v>
      </c>
      <c r="E13" s="204">
        <f t="shared" si="1"/>
        <v>4339.0600000000013</v>
      </c>
      <c r="F13" s="204">
        <f t="shared" si="1"/>
        <v>4772.9660000000022</v>
      </c>
      <c r="G13" s="204">
        <f t="shared" si="1"/>
        <v>5250.2626000000027</v>
      </c>
    </row>
    <row r="14" spans="1:13">
      <c r="A14" s="42" t="s">
        <v>735</v>
      </c>
      <c r="B14" s="146">
        <f>B12+B13</f>
        <v>3860</v>
      </c>
      <c r="C14" s="146">
        <f t="shared" ref="C14:G14" si="2">C12+C13</f>
        <v>4246</v>
      </c>
      <c r="D14" s="146">
        <f t="shared" si="2"/>
        <v>3944.6000000000008</v>
      </c>
      <c r="E14" s="146">
        <f t="shared" si="2"/>
        <v>4339.0600000000013</v>
      </c>
      <c r="F14" s="146">
        <f t="shared" si="2"/>
        <v>4772.9660000000022</v>
      </c>
      <c r="G14" s="146">
        <f t="shared" si="2"/>
        <v>5250.2626000000027</v>
      </c>
    </row>
    <row r="15" spans="1:13">
      <c r="A15" s="40" t="s">
        <v>419</v>
      </c>
      <c r="B15" s="148">
        <v>-660</v>
      </c>
      <c r="C15" s="122"/>
      <c r="D15" s="122"/>
      <c r="E15" s="122"/>
    </row>
    <row r="16" spans="1:13">
      <c r="A16" s="40" t="s">
        <v>420</v>
      </c>
      <c r="B16" s="149">
        <f>-(B14+B15)</f>
        <v>-3200</v>
      </c>
      <c r="C16" s="149">
        <f>C17-C10</f>
        <v>-3465</v>
      </c>
      <c r="D16" s="149">
        <f t="shared" ref="D16:G16" si="3">D17-D10</f>
        <v>-3811.5</v>
      </c>
      <c r="E16" s="149">
        <f t="shared" si="3"/>
        <v>-4192.6500000000005</v>
      </c>
      <c r="F16" s="149">
        <f t="shared" si="3"/>
        <v>-4611.9150000000009</v>
      </c>
      <c r="G16" s="149">
        <f t="shared" si="3"/>
        <v>-5073.1065000000017</v>
      </c>
    </row>
    <row r="17" spans="1:8">
      <c r="A17" s="42" t="s">
        <v>22</v>
      </c>
      <c r="B17" s="165">
        <f>B10+B16</f>
        <v>1300</v>
      </c>
      <c r="C17" s="203">
        <f>30%*C10</f>
        <v>1485</v>
      </c>
      <c r="D17" s="203">
        <f t="shared" ref="D17:G17" si="4">30%*D10</f>
        <v>1633.5</v>
      </c>
      <c r="E17" s="203">
        <f t="shared" si="4"/>
        <v>1796.8500000000001</v>
      </c>
      <c r="F17" s="203">
        <f t="shared" si="4"/>
        <v>1976.5350000000003</v>
      </c>
      <c r="G17" s="203">
        <f t="shared" si="4"/>
        <v>2174.1885000000007</v>
      </c>
    </row>
    <row r="18" spans="1:8">
      <c r="A18" s="42" t="s">
        <v>421</v>
      </c>
      <c r="B18" s="145"/>
      <c r="C18" s="122"/>
      <c r="D18" s="122"/>
      <c r="E18" s="122"/>
    </row>
    <row r="19" spans="1:8">
      <c r="A19" s="40" t="s">
        <v>390</v>
      </c>
      <c r="B19" s="150">
        <f>'[1]QUESTION 21'!$B$19-210</f>
        <v>-420</v>
      </c>
      <c r="C19" s="150">
        <f>(1+5%)*B19</f>
        <v>-441</v>
      </c>
      <c r="D19" s="150">
        <f t="shared" ref="D19:G19" si="5">(1+5%)*C19</f>
        <v>-463.05</v>
      </c>
      <c r="E19" s="150">
        <f t="shared" si="5"/>
        <v>-486.20250000000004</v>
      </c>
      <c r="F19" s="150">
        <f t="shared" si="5"/>
        <v>-510.51262500000007</v>
      </c>
      <c r="G19" s="150">
        <f t="shared" si="5"/>
        <v>-536.03825625000013</v>
      </c>
    </row>
    <row r="20" spans="1:8">
      <c r="A20" s="40" t="s">
        <v>422</v>
      </c>
      <c r="B20" s="149">
        <v>-210</v>
      </c>
      <c r="C20" s="149">
        <f>(1+10%)*B20</f>
        <v>-231.00000000000003</v>
      </c>
      <c r="D20" s="149">
        <f t="shared" ref="D20:G20" si="6">(1+10%)*C20</f>
        <v>-254.10000000000005</v>
      </c>
      <c r="E20" s="149">
        <f t="shared" si="6"/>
        <v>-279.5100000000001</v>
      </c>
      <c r="F20" s="149">
        <f t="shared" si="6"/>
        <v>-307.46100000000013</v>
      </c>
      <c r="G20" s="149">
        <f t="shared" si="6"/>
        <v>-338.20710000000014</v>
      </c>
    </row>
    <row r="21" spans="1:8">
      <c r="A21" s="42" t="s">
        <v>423</v>
      </c>
      <c r="B21" s="166">
        <f>B17+B19+B20</f>
        <v>670</v>
      </c>
      <c r="C21" s="166">
        <f t="shared" ref="C21:G21" si="7">C17+C19+C20</f>
        <v>813</v>
      </c>
      <c r="D21" s="166">
        <f t="shared" si="7"/>
        <v>916.35</v>
      </c>
      <c r="E21" s="166">
        <f t="shared" si="7"/>
        <v>1031.1374999999998</v>
      </c>
      <c r="F21" s="166">
        <f t="shared" si="7"/>
        <v>1158.5613750000002</v>
      </c>
      <c r="G21" s="166">
        <f t="shared" si="7"/>
        <v>1299.9431437500004</v>
      </c>
    </row>
    <row r="22" spans="1:8">
      <c r="A22" s="40" t="s">
        <v>424</v>
      </c>
      <c r="B22" s="149">
        <v>-150</v>
      </c>
      <c r="C22" s="149">
        <f>-10%*B37</f>
        <v>-244</v>
      </c>
      <c r="D22" s="149">
        <f t="shared" ref="D22:G22" si="8">-10%*C37</f>
        <v>0</v>
      </c>
      <c r="E22" s="149">
        <f t="shared" si="8"/>
        <v>0</v>
      </c>
      <c r="F22" s="149">
        <f t="shared" si="8"/>
        <v>0</v>
      </c>
      <c r="G22" s="149">
        <f t="shared" si="8"/>
        <v>0</v>
      </c>
    </row>
    <row r="23" spans="1:8">
      <c r="A23" s="42" t="s">
        <v>425</v>
      </c>
      <c r="B23" s="165">
        <f>B21+B22</f>
        <v>520</v>
      </c>
      <c r="C23" s="165">
        <f t="shared" ref="C23:G23" si="9">C21+C22</f>
        <v>569</v>
      </c>
      <c r="D23" s="165">
        <f t="shared" si="9"/>
        <v>916.35</v>
      </c>
      <c r="E23" s="165">
        <f t="shared" si="9"/>
        <v>1031.1374999999998</v>
      </c>
      <c r="F23" s="165">
        <f t="shared" si="9"/>
        <v>1158.5613750000002</v>
      </c>
      <c r="G23" s="165">
        <f t="shared" si="9"/>
        <v>1299.9431437500004</v>
      </c>
    </row>
    <row r="24" spans="1:8">
      <c r="A24" s="40" t="s">
        <v>59</v>
      </c>
      <c r="B24" s="149">
        <v>-140</v>
      </c>
      <c r="C24" s="149">
        <f>-10%*B51</f>
        <v>-130</v>
      </c>
      <c r="D24" s="149">
        <f t="shared" ref="D24:G24" si="10">-10%*C51</f>
        <v>0</v>
      </c>
      <c r="E24" s="149">
        <f t="shared" si="10"/>
        <v>0</v>
      </c>
      <c r="F24" s="149">
        <f t="shared" si="10"/>
        <v>0</v>
      </c>
      <c r="G24" s="149">
        <f t="shared" si="10"/>
        <v>0</v>
      </c>
    </row>
    <row r="25" spans="1:8">
      <c r="A25" s="42" t="s">
        <v>426</v>
      </c>
      <c r="B25" s="165">
        <f>B23+B24</f>
        <v>380</v>
      </c>
      <c r="C25" s="165">
        <f t="shared" ref="C25:G25" si="11">C23+C24</f>
        <v>439</v>
      </c>
      <c r="D25" s="165">
        <f t="shared" si="11"/>
        <v>916.35</v>
      </c>
      <c r="E25" s="165">
        <f t="shared" si="11"/>
        <v>1031.1374999999998</v>
      </c>
      <c r="F25" s="165">
        <f t="shared" si="11"/>
        <v>1158.5613750000002</v>
      </c>
      <c r="G25" s="165">
        <f t="shared" si="11"/>
        <v>1299.9431437500004</v>
      </c>
    </row>
    <row r="26" spans="1:8">
      <c r="A26" s="40" t="s">
        <v>280</v>
      </c>
      <c r="B26" s="149">
        <v>-160</v>
      </c>
      <c r="C26" s="149">
        <f>30%*-C25</f>
        <v>-131.69999999999999</v>
      </c>
      <c r="D26" s="149">
        <f t="shared" ref="D26:G26" si="12">30%*-D25</f>
        <v>-274.90499999999997</v>
      </c>
      <c r="E26" s="149">
        <f t="shared" si="12"/>
        <v>-309.34124999999995</v>
      </c>
      <c r="F26" s="149">
        <f t="shared" si="12"/>
        <v>-347.56841250000008</v>
      </c>
      <c r="G26" s="149">
        <f t="shared" si="12"/>
        <v>-389.98294312500013</v>
      </c>
    </row>
    <row r="27" spans="1:8">
      <c r="A27" s="42" t="s">
        <v>427</v>
      </c>
      <c r="B27" s="165">
        <f>B25+B26</f>
        <v>220</v>
      </c>
      <c r="C27" s="165">
        <f t="shared" ref="C27:G27" si="13">C25+C26</f>
        <v>307.3</v>
      </c>
      <c r="D27" s="165">
        <f t="shared" si="13"/>
        <v>641.44500000000005</v>
      </c>
      <c r="E27" s="165">
        <f t="shared" si="13"/>
        <v>721.79624999999987</v>
      </c>
      <c r="F27" s="165">
        <f t="shared" si="13"/>
        <v>810.9929625000002</v>
      </c>
      <c r="G27" s="165">
        <f t="shared" si="13"/>
        <v>909.96020062500031</v>
      </c>
    </row>
    <row r="28" spans="1:8">
      <c r="A28" s="40" t="s">
        <v>428</v>
      </c>
      <c r="B28" s="149">
        <v>-180</v>
      </c>
      <c r="C28" s="149">
        <f>40%*-C27</f>
        <v>-122.92000000000002</v>
      </c>
      <c r="D28" s="149">
        <f t="shared" ref="D28:G28" si="14">40%*-D27</f>
        <v>-256.57800000000003</v>
      </c>
      <c r="E28" s="149">
        <f t="shared" si="14"/>
        <v>-288.71849999999995</v>
      </c>
      <c r="F28" s="149">
        <f t="shared" si="14"/>
        <v>-324.39718500000009</v>
      </c>
      <c r="G28" s="149">
        <f t="shared" si="14"/>
        <v>-363.98408025000015</v>
      </c>
    </row>
    <row r="29" spans="1:8">
      <c r="A29" s="42" t="s">
        <v>429</v>
      </c>
      <c r="B29" s="165">
        <f>B27+B28</f>
        <v>40</v>
      </c>
      <c r="C29" s="165">
        <f t="shared" ref="C29:G29" si="15">C27+C28</f>
        <v>184.38</v>
      </c>
      <c r="D29" s="165">
        <f t="shared" si="15"/>
        <v>384.86700000000002</v>
      </c>
      <c r="E29" s="165">
        <f t="shared" si="15"/>
        <v>433.07774999999992</v>
      </c>
      <c r="F29" s="165">
        <f t="shared" si="15"/>
        <v>486.59577750000011</v>
      </c>
      <c r="G29" s="165">
        <f t="shared" si="15"/>
        <v>545.97612037500016</v>
      </c>
    </row>
    <row r="30" spans="1:8">
      <c r="A30" s="40" t="s">
        <v>430</v>
      </c>
      <c r="B30" s="149"/>
      <c r="C30" s="202"/>
      <c r="D30" s="202"/>
      <c r="E30" s="202"/>
      <c r="F30" s="202"/>
      <c r="G30" s="202"/>
    </row>
    <row r="31" spans="1:8">
      <c r="A31" s="42" t="s">
        <v>431</v>
      </c>
      <c r="B31" s="164"/>
      <c r="C31" s="164"/>
      <c r="D31" s="164"/>
      <c r="E31" s="164"/>
      <c r="F31" s="164"/>
      <c r="G31" s="164"/>
      <c r="H31" s="127"/>
    </row>
    <row r="32" spans="1:8">
      <c r="A32" s="42"/>
      <c r="B32" s="164"/>
      <c r="C32" s="122"/>
      <c r="D32" s="122"/>
      <c r="E32" s="122"/>
      <c r="H32" s="127"/>
    </row>
    <row r="33" spans="1:8">
      <c r="A33" s="40"/>
      <c r="B33" s="151"/>
      <c r="C33" s="122"/>
      <c r="D33" s="122"/>
      <c r="E33" s="122"/>
      <c r="H33" s="127"/>
    </row>
    <row r="34" spans="1:8">
      <c r="A34" s="42" t="s">
        <v>412</v>
      </c>
      <c r="B34" s="42">
        <v>2024</v>
      </c>
      <c r="C34" s="42">
        <v>2025</v>
      </c>
      <c r="D34" s="42">
        <v>2026</v>
      </c>
      <c r="E34" s="42">
        <v>2027</v>
      </c>
      <c r="F34" s="42">
        <v>2028</v>
      </c>
      <c r="G34" s="42">
        <v>2029</v>
      </c>
      <c r="H34" s="129"/>
    </row>
    <row r="35" spans="1:8">
      <c r="A35" s="42" t="s">
        <v>432</v>
      </c>
      <c r="B35" s="144" t="s">
        <v>414</v>
      </c>
      <c r="C35" s="144" t="s">
        <v>414</v>
      </c>
      <c r="D35" s="144" t="s">
        <v>414</v>
      </c>
      <c r="E35" s="144" t="s">
        <v>414</v>
      </c>
      <c r="F35" s="144" t="s">
        <v>414</v>
      </c>
      <c r="G35" s="144" t="s">
        <v>414</v>
      </c>
    </row>
    <row r="36" spans="1:8">
      <c r="A36" s="42" t="s">
        <v>67</v>
      </c>
      <c r="B36" s="152"/>
      <c r="C36" s="122"/>
      <c r="D36" s="122"/>
      <c r="E36" s="122"/>
    </row>
    <row r="37" spans="1:8">
      <c r="A37" s="42" t="s">
        <v>433</v>
      </c>
      <c r="B37" s="163">
        <v>2440</v>
      </c>
      <c r="C37" s="122"/>
      <c r="D37" s="122"/>
      <c r="E37" s="122"/>
    </row>
    <row r="38" spans="1:8">
      <c r="A38" s="42" t="s">
        <v>31</v>
      </c>
      <c r="B38" s="152"/>
      <c r="C38" s="122"/>
      <c r="D38" s="122"/>
      <c r="E38" s="122"/>
    </row>
    <row r="39" spans="1:8">
      <c r="A39" s="40" t="s">
        <v>32</v>
      </c>
      <c r="B39" s="153">
        <v>660</v>
      </c>
      <c r="C39" s="122"/>
      <c r="D39" s="122"/>
      <c r="E39" s="122"/>
      <c r="H39" s="91"/>
    </row>
    <row r="40" spans="1:8">
      <c r="A40" s="40" t="s">
        <v>71</v>
      </c>
      <c r="B40" s="153">
        <v>970</v>
      </c>
      <c r="C40" s="122"/>
      <c r="D40" s="122"/>
      <c r="E40" s="122"/>
    </row>
    <row r="41" spans="1:8" ht="17">
      <c r="A41" s="40" t="s">
        <v>434</v>
      </c>
      <c r="B41" s="154">
        <v>140</v>
      </c>
      <c r="C41" s="122"/>
      <c r="D41" s="122"/>
      <c r="E41" s="122"/>
    </row>
    <row r="42" spans="1:8" ht="18">
      <c r="A42" s="42" t="s">
        <v>98</v>
      </c>
      <c r="B42" s="161">
        <f>SUM(B39:B41)</f>
        <v>1770</v>
      </c>
    </row>
    <row r="43" spans="1:8" ht="16.5">
      <c r="A43" s="42" t="s">
        <v>34</v>
      </c>
      <c r="B43" s="162">
        <f>B37+B42</f>
        <v>4210</v>
      </c>
    </row>
    <row r="44" spans="1:8">
      <c r="A44" s="42" t="s">
        <v>74</v>
      </c>
      <c r="B44" s="152"/>
    </row>
    <row r="45" spans="1:8">
      <c r="A45" s="40" t="s">
        <v>435</v>
      </c>
      <c r="B45" s="153">
        <v>850</v>
      </c>
    </row>
    <row r="46" spans="1:8">
      <c r="A46" s="40" t="s">
        <v>436</v>
      </c>
      <c r="B46" s="155">
        <v>330</v>
      </c>
    </row>
    <row r="47" spans="1:8" ht="17">
      <c r="A47" s="40" t="s">
        <v>437</v>
      </c>
      <c r="B47" s="154">
        <f>B31</f>
        <v>0</v>
      </c>
      <c r="C47" s="154">
        <f t="shared" ref="C47:G47" si="16">C31</f>
        <v>0</v>
      </c>
      <c r="D47" s="154">
        <f t="shared" si="16"/>
        <v>0</v>
      </c>
      <c r="E47" s="154">
        <f t="shared" si="16"/>
        <v>0</v>
      </c>
      <c r="F47" s="154">
        <f t="shared" si="16"/>
        <v>0</v>
      </c>
      <c r="G47" s="154">
        <f t="shared" si="16"/>
        <v>0</v>
      </c>
    </row>
    <row r="48" spans="1:8" ht="18">
      <c r="A48" s="42" t="s">
        <v>438</v>
      </c>
      <c r="B48" s="161">
        <f>SUM(B45:B47)</f>
        <v>1180</v>
      </c>
    </row>
    <row r="49" spans="1:8">
      <c r="A49" s="42" t="s">
        <v>154</v>
      </c>
      <c r="B49" s="155"/>
      <c r="H49" s="132"/>
    </row>
    <row r="50" spans="1:8">
      <c r="A50" s="42" t="s">
        <v>439</v>
      </c>
      <c r="B50" s="155"/>
      <c r="H50" s="132"/>
    </row>
    <row r="51" spans="1:8">
      <c r="A51" s="40" t="s">
        <v>440</v>
      </c>
      <c r="B51" s="153">
        <v>1300</v>
      </c>
      <c r="H51" s="132"/>
    </row>
    <row r="52" spans="1:8">
      <c r="A52" s="42" t="s">
        <v>40</v>
      </c>
      <c r="B52" s="155"/>
    </row>
    <row r="53" spans="1:8">
      <c r="A53" s="40" t="s">
        <v>41</v>
      </c>
      <c r="B53" s="153">
        <v>810</v>
      </c>
    </row>
    <row r="54" spans="1:8" ht="17">
      <c r="A54" s="40" t="s">
        <v>80</v>
      </c>
      <c r="B54" s="154">
        <v>120</v>
      </c>
    </row>
    <row r="55" spans="1:8" ht="17">
      <c r="A55" s="40"/>
      <c r="B55" s="156">
        <f>SUM(B53:B54)</f>
        <v>930</v>
      </c>
    </row>
    <row r="56" spans="1:8" ht="18">
      <c r="A56" s="42" t="s">
        <v>441</v>
      </c>
      <c r="B56" s="160">
        <f>B51+B55</f>
        <v>2230</v>
      </c>
    </row>
    <row r="57" spans="1:8" ht="16.5">
      <c r="A57" s="42" t="s">
        <v>82</v>
      </c>
      <c r="B57" s="159">
        <f>B47+B56</f>
        <v>2230</v>
      </c>
    </row>
    <row r="58" spans="1:8">
      <c r="A58" s="42" t="s">
        <v>442</v>
      </c>
      <c r="B58" s="40"/>
      <c r="C58" s="40"/>
    </row>
    <row r="59" spans="1:8">
      <c r="A59" s="40"/>
      <c r="B59" s="40"/>
    </row>
    <row r="60" spans="1:8">
      <c r="A60" s="42" t="s">
        <v>443</v>
      </c>
      <c r="B60" s="40"/>
    </row>
    <row r="61" spans="1:8">
      <c r="A61" s="40" t="s">
        <v>444</v>
      </c>
      <c r="B61" s="40"/>
    </row>
    <row r="62" spans="1:8">
      <c r="A62" s="40" t="s">
        <v>445</v>
      </c>
      <c r="B62" s="40"/>
    </row>
    <row r="63" spans="1:8" ht="17">
      <c r="A63" s="40" t="s">
        <v>446</v>
      </c>
      <c r="B63" s="157"/>
      <c r="F63" s="157"/>
    </row>
    <row r="64" spans="1:8">
      <c r="A64" s="40" t="s">
        <v>447</v>
      </c>
    </row>
    <row r="65" spans="1:3">
      <c r="A65" s="40" t="s">
        <v>448</v>
      </c>
    </row>
    <row r="66" spans="1:3" ht="17">
      <c r="A66" s="40" t="s">
        <v>449</v>
      </c>
      <c r="B66" s="157"/>
    </row>
    <row r="67" spans="1:3" ht="17">
      <c r="A67" s="40" t="s">
        <v>450</v>
      </c>
      <c r="C67" s="157"/>
    </row>
    <row r="68" spans="1:3" ht="17">
      <c r="A68" s="40" t="s">
        <v>451</v>
      </c>
      <c r="B68" s="157"/>
    </row>
    <row r="70" spans="1:3">
      <c r="A70" s="42" t="s">
        <v>452</v>
      </c>
    </row>
    <row r="71" spans="1:3">
      <c r="A71" s="40" t="s">
        <v>453</v>
      </c>
    </row>
    <row r="72" spans="1:3">
      <c r="A72" s="40" t="s">
        <v>454</v>
      </c>
    </row>
    <row r="73" spans="1:3">
      <c r="A73" s="40" t="s">
        <v>455</v>
      </c>
    </row>
    <row r="74" spans="1:3">
      <c r="A74" s="40" t="s">
        <v>456</v>
      </c>
    </row>
    <row r="75" spans="1:3">
      <c r="A75" s="40" t="s">
        <v>457</v>
      </c>
    </row>
    <row r="76" spans="1:3">
      <c r="A76" s="40" t="s">
        <v>458</v>
      </c>
    </row>
    <row r="77" spans="1:3">
      <c r="A77" s="40" t="s">
        <v>459</v>
      </c>
    </row>
    <row r="78" spans="1:3">
      <c r="A78" s="40" t="s">
        <v>460</v>
      </c>
    </row>
    <row r="79" spans="1:3">
      <c r="A79" s="40" t="s">
        <v>461</v>
      </c>
    </row>
    <row r="81" spans="1:11">
      <c r="A81" s="42" t="s">
        <v>47</v>
      </c>
    </row>
    <row r="82" spans="1:11">
      <c r="A82" s="40" t="s">
        <v>462</v>
      </c>
      <c r="B82" s="40"/>
      <c r="C82" s="40"/>
      <c r="D82" s="40"/>
      <c r="E82" s="40"/>
      <c r="H82" s="129" t="s">
        <v>463</v>
      </c>
      <c r="I82" s="129"/>
      <c r="K82" s="40"/>
    </row>
    <row r="83" spans="1:11">
      <c r="A83" s="40"/>
      <c r="B83" s="40"/>
      <c r="C83" s="40"/>
      <c r="D83" s="40"/>
      <c r="E83" s="40"/>
      <c r="H83" s="40"/>
      <c r="I83" s="40"/>
      <c r="K83" s="40"/>
    </row>
    <row r="84" spans="1:11">
      <c r="A84" s="40" t="s">
        <v>464</v>
      </c>
      <c r="B84" s="40"/>
      <c r="C84" s="40"/>
      <c r="D84" s="40"/>
      <c r="E84" s="40"/>
      <c r="H84" s="129" t="s">
        <v>463</v>
      </c>
      <c r="J84" s="40"/>
      <c r="K84" s="45"/>
    </row>
    <row r="85" spans="1:11">
      <c r="A85" s="40"/>
      <c r="B85" s="40"/>
      <c r="C85" s="40"/>
      <c r="D85" s="40"/>
      <c r="E85" s="40"/>
      <c r="F85" s="40"/>
      <c r="H85" s="91" t="s">
        <v>50</v>
      </c>
      <c r="K85" s="40"/>
    </row>
    <row r="86" spans="1:11">
      <c r="I86" s="40"/>
      <c r="J86" s="40"/>
      <c r="K86" s="40"/>
    </row>
    <row r="87" spans="1:11">
      <c r="H87" s="134"/>
    </row>
    <row r="91" spans="1:11">
      <c r="F91" s="42" t="s">
        <v>465</v>
      </c>
    </row>
    <row r="92" spans="1:11">
      <c r="F92" s="158" t="s">
        <v>313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8557-C00A-4537-99A1-1DC617CB3A9D}">
  <dimension ref="A1:M77"/>
  <sheetViews>
    <sheetView tabSelected="1" workbookViewId="0">
      <selection activeCell="M24" sqref="M24"/>
    </sheetView>
  </sheetViews>
  <sheetFormatPr defaultRowHeight="15.5"/>
  <cols>
    <col min="1" max="1" width="4.54296875" style="40" customWidth="1"/>
    <col min="2" max="16384" width="8.7265625" style="40"/>
  </cols>
  <sheetData>
    <row r="1" spans="1:2">
      <c r="A1" s="40" t="s">
        <v>141</v>
      </c>
    </row>
    <row r="3" spans="1:2">
      <c r="A3" s="40" t="s">
        <v>142</v>
      </c>
    </row>
    <row r="5" spans="1:2">
      <c r="A5" s="40" t="s">
        <v>143</v>
      </c>
    </row>
    <row r="7" spans="1:2">
      <c r="A7" s="40" t="s">
        <v>466</v>
      </c>
    </row>
    <row r="8" spans="1:2">
      <c r="A8" s="40" t="s">
        <v>467</v>
      </c>
    </row>
    <row r="10" spans="1:2">
      <c r="A10" s="40" t="s">
        <v>468</v>
      </c>
    </row>
    <row r="11" spans="1:2">
      <c r="A11" s="40" t="s">
        <v>469</v>
      </c>
      <c r="B11" s="40" t="s">
        <v>470</v>
      </c>
    </row>
    <row r="12" spans="1:2">
      <c r="A12" s="40" t="s">
        <v>195</v>
      </c>
      <c r="B12" s="40" t="s">
        <v>471</v>
      </c>
    </row>
    <row r="13" spans="1:2">
      <c r="A13" s="40" t="s">
        <v>197</v>
      </c>
      <c r="B13" s="40" t="s">
        <v>472</v>
      </c>
    </row>
    <row r="14" spans="1:2">
      <c r="A14" s="40" t="s">
        <v>199</v>
      </c>
      <c r="B14" s="40" t="s">
        <v>473</v>
      </c>
    </row>
    <row r="15" spans="1:2">
      <c r="A15" s="40" t="s">
        <v>201</v>
      </c>
      <c r="B15" s="40" t="s">
        <v>474</v>
      </c>
    </row>
    <row r="16" spans="1:2">
      <c r="B16" s="40" t="s">
        <v>475</v>
      </c>
    </row>
    <row r="17" spans="1:2">
      <c r="B17" s="40" t="s">
        <v>476</v>
      </c>
    </row>
    <row r="18" spans="1:2">
      <c r="B18" s="40" t="s">
        <v>477</v>
      </c>
    </row>
    <row r="19" spans="1:2">
      <c r="A19" s="40" t="s">
        <v>478</v>
      </c>
      <c r="B19" s="40" t="s">
        <v>479</v>
      </c>
    </row>
    <row r="20" spans="1:2">
      <c r="A20" s="40" t="s">
        <v>480</v>
      </c>
      <c r="B20" s="40" t="s">
        <v>481</v>
      </c>
    </row>
    <row r="22" spans="1:2">
      <c r="A22" s="40" t="s">
        <v>482</v>
      </c>
    </row>
    <row r="23" spans="1:2">
      <c r="A23" s="40" t="s">
        <v>483</v>
      </c>
      <c r="B23" s="40" t="s">
        <v>484</v>
      </c>
    </row>
    <row r="24" spans="1:2">
      <c r="A24" s="40" t="s">
        <v>485</v>
      </c>
      <c r="B24" s="40" t="s">
        <v>486</v>
      </c>
    </row>
    <row r="25" spans="1:2">
      <c r="A25" s="40" t="s">
        <v>487</v>
      </c>
      <c r="B25" s="40" t="s">
        <v>488</v>
      </c>
    </row>
    <row r="26" spans="1:2">
      <c r="A26" s="40" t="s">
        <v>489</v>
      </c>
      <c r="B26" s="40" t="s">
        <v>490</v>
      </c>
    </row>
    <row r="27" spans="1:2">
      <c r="A27" s="40" t="s">
        <v>491</v>
      </c>
      <c r="B27" s="40" t="s">
        <v>492</v>
      </c>
    </row>
    <row r="28" spans="1:2">
      <c r="A28" s="40" t="s">
        <v>493</v>
      </c>
      <c r="B28" s="40" t="s">
        <v>494</v>
      </c>
    </row>
    <row r="29" spans="1:2">
      <c r="B29" s="40" t="s">
        <v>495</v>
      </c>
    </row>
    <row r="30" spans="1:2">
      <c r="B30" s="40" t="s">
        <v>496</v>
      </c>
    </row>
    <row r="31" spans="1:2">
      <c r="A31" s="40" t="s">
        <v>497</v>
      </c>
      <c r="B31" s="40" t="s">
        <v>498</v>
      </c>
    </row>
    <row r="33" spans="1:13">
      <c r="A33" s="42" t="s">
        <v>499</v>
      </c>
    </row>
    <row r="34" spans="1:13" ht="20">
      <c r="A34" s="38" t="s">
        <v>500</v>
      </c>
      <c r="B34" s="40" t="s">
        <v>501</v>
      </c>
    </row>
    <row r="35" spans="1:13" ht="20">
      <c r="A35" s="38" t="s">
        <v>500</v>
      </c>
      <c r="B35" s="40" t="s">
        <v>502</v>
      </c>
    </row>
    <row r="36" spans="1:13" ht="20">
      <c r="A36" s="38" t="s">
        <v>500</v>
      </c>
      <c r="B36" s="40" t="s">
        <v>503</v>
      </c>
    </row>
    <row r="38" spans="1:13">
      <c r="A38" s="42" t="s">
        <v>47</v>
      </c>
    </row>
    <row r="39" spans="1:13">
      <c r="A39" s="40" t="s">
        <v>186</v>
      </c>
      <c r="B39" s="40" t="s">
        <v>504</v>
      </c>
    </row>
    <row r="40" spans="1:13">
      <c r="B40" s="40" t="s">
        <v>505</v>
      </c>
      <c r="M40" s="40" t="s">
        <v>506</v>
      </c>
    </row>
    <row r="42" spans="1:13">
      <c r="A42" s="40" t="s">
        <v>507</v>
      </c>
      <c r="B42" s="40" t="s">
        <v>508</v>
      </c>
      <c r="M42" s="40" t="s">
        <v>506</v>
      </c>
    </row>
    <row r="44" spans="1:13">
      <c r="A44" s="40" t="s">
        <v>509</v>
      </c>
      <c r="B44" s="40" t="s">
        <v>510</v>
      </c>
    </row>
    <row r="45" spans="1:13">
      <c r="B45" s="40" t="s">
        <v>511</v>
      </c>
      <c r="M45" s="40" t="s">
        <v>506</v>
      </c>
    </row>
    <row r="46" spans="1:13">
      <c r="M46" s="40" t="s">
        <v>512</v>
      </c>
    </row>
    <row r="56" spans="12:12">
      <c r="L56" s="40" t="s">
        <v>513</v>
      </c>
    </row>
    <row r="57" spans="12:12">
      <c r="L57" s="40" t="s">
        <v>514</v>
      </c>
    </row>
    <row r="77" spans="12:12">
      <c r="L77" s="40" t="s">
        <v>515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958D-ACC9-4FEF-9093-A25BC5755E79}">
  <dimension ref="A1"/>
  <sheetViews>
    <sheetView workbookViewId="0">
      <selection activeCell="L13" sqref="L13"/>
    </sheetView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641E-C0E4-400D-B187-76EDA5C2880E}">
  <dimension ref="A1"/>
  <sheetViews>
    <sheetView showFormulas="1" topLeftCell="A22" zoomScaleNormal="100" workbookViewId="0">
      <selection activeCell="S17" sqref="S17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EAC1-5F48-4D29-A42F-4948917F3530}">
  <dimension ref="A1:M57"/>
  <sheetViews>
    <sheetView topLeftCell="A48" workbookViewId="0">
      <selection activeCell="A31" sqref="A31"/>
    </sheetView>
  </sheetViews>
  <sheetFormatPr defaultRowHeight="14.5"/>
  <cols>
    <col min="1" max="1" width="46.1796875" customWidth="1"/>
    <col min="5" max="5" width="10.7265625" style="167" bestFit="1" customWidth="1"/>
  </cols>
  <sheetData>
    <row r="1" spans="1:5">
      <c r="A1" t="s">
        <v>2</v>
      </c>
    </row>
    <row r="2" spans="1:5">
      <c r="A2" t="s">
        <v>3</v>
      </c>
    </row>
    <row r="3" spans="1:5">
      <c r="A3" t="s">
        <v>4</v>
      </c>
      <c r="B3" s="170">
        <v>0.28100000000000003</v>
      </c>
      <c r="C3" s="1"/>
    </row>
    <row r="4" spans="1:5">
      <c r="A4" t="s">
        <v>5</v>
      </c>
      <c r="B4" s="6" t="s">
        <v>8</v>
      </c>
      <c r="C4" s="2"/>
    </row>
    <row r="5" spans="1:5">
      <c r="A5" t="s">
        <v>6</v>
      </c>
      <c r="B5" s="171">
        <v>0.17</v>
      </c>
      <c r="C5" s="3"/>
    </row>
    <row r="6" spans="1:5">
      <c r="A6" t="s">
        <v>7</v>
      </c>
      <c r="B6" s="170">
        <v>6.3E-2</v>
      </c>
      <c r="C6" s="1"/>
    </row>
    <row r="7" spans="1:5">
      <c r="A7" t="s">
        <v>1</v>
      </c>
      <c r="B7" s="6" t="s">
        <v>9</v>
      </c>
    </row>
    <row r="8" spans="1:5">
      <c r="A8" t="s">
        <v>10</v>
      </c>
      <c r="B8" s="6" t="s">
        <v>11</v>
      </c>
    </row>
    <row r="9" spans="1:5">
      <c r="A9" t="s">
        <v>12</v>
      </c>
      <c r="B9" s="6" t="s">
        <v>13</v>
      </c>
    </row>
    <row r="10" spans="1:5">
      <c r="A10" t="s">
        <v>53</v>
      </c>
      <c r="B10" s="6" t="s">
        <v>14</v>
      </c>
    </row>
    <row r="11" spans="1:5">
      <c r="A11" t="s">
        <v>52</v>
      </c>
      <c r="B11" s="170">
        <v>3.7499999999999999E-2</v>
      </c>
      <c r="C11" s="1"/>
    </row>
    <row r="12" spans="1:5">
      <c r="A12" t="s">
        <v>15</v>
      </c>
      <c r="B12" s="6" t="s">
        <v>16</v>
      </c>
    </row>
    <row r="13" spans="1:5">
      <c r="A13" t="s">
        <v>17</v>
      </c>
    </row>
    <row r="14" spans="1:5">
      <c r="A14" s="4" t="s">
        <v>18</v>
      </c>
    </row>
    <row r="15" spans="1:5">
      <c r="A15" t="s">
        <v>19</v>
      </c>
      <c r="E15" s="167" t="s">
        <v>19</v>
      </c>
    </row>
    <row r="16" spans="1:5">
      <c r="A16" t="s">
        <v>20</v>
      </c>
      <c r="E16" s="167">
        <v>20000</v>
      </c>
    </row>
    <row r="17" spans="1:13">
      <c r="A17" t="s">
        <v>21</v>
      </c>
      <c r="E17" s="167">
        <v>-17250</v>
      </c>
      <c r="M17" s="1"/>
    </row>
    <row r="18" spans="1:13">
      <c r="A18" s="4" t="s">
        <v>22</v>
      </c>
      <c r="B18" s="4"/>
      <c r="C18" s="4"/>
      <c r="D18" s="4"/>
      <c r="E18" s="168">
        <v>2750</v>
      </c>
    </row>
    <row r="19" spans="1:13">
      <c r="A19" t="s">
        <v>23</v>
      </c>
      <c r="E19" s="167">
        <v>1850</v>
      </c>
    </row>
    <row r="20" spans="1:13">
      <c r="A20" s="4" t="s">
        <v>0</v>
      </c>
      <c r="B20" s="4"/>
      <c r="C20" s="4"/>
      <c r="D20" s="4"/>
      <c r="E20" s="168">
        <v>900</v>
      </c>
    </row>
    <row r="21" spans="1:13">
      <c r="A21" t="s">
        <v>24</v>
      </c>
      <c r="E21" s="167">
        <v>200</v>
      </c>
    </row>
    <row r="22" spans="1:13">
      <c r="A22" t="s">
        <v>25</v>
      </c>
      <c r="E22" s="167">
        <v>100</v>
      </c>
    </row>
    <row r="23" spans="1:13">
      <c r="A23" s="4" t="s">
        <v>26</v>
      </c>
      <c r="B23" s="4"/>
      <c r="C23" s="4"/>
      <c r="D23" s="4"/>
      <c r="E23" s="168">
        <v>1000</v>
      </c>
    </row>
    <row r="24" spans="1:13">
      <c r="A24" t="s">
        <v>27</v>
      </c>
      <c r="E24" s="167">
        <v>250</v>
      </c>
    </row>
    <row r="25" spans="1:13">
      <c r="A25" s="4" t="s">
        <v>28</v>
      </c>
      <c r="B25" s="4"/>
      <c r="C25" s="4"/>
      <c r="D25" s="4"/>
      <c r="E25" s="168">
        <v>750</v>
      </c>
    </row>
    <row r="26" spans="1:13" s="4" customFormat="1">
      <c r="A26" s="4" t="s">
        <v>29</v>
      </c>
      <c r="E26" s="168"/>
    </row>
    <row r="27" spans="1:13" s="4" customFormat="1">
      <c r="E27" s="168"/>
    </row>
    <row r="28" spans="1:13" s="4" customFormat="1">
      <c r="E28" s="168"/>
    </row>
    <row r="29" spans="1:13">
      <c r="A29" t="s">
        <v>95</v>
      </c>
      <c r="E29" s="167" t="s">
        <v>19</v>
      </c>
    </row>
    <row r="30" spans="1:13">
      <c r="A30" t="s">
        <v>30</v>
      </c>
      <c r="E30" s="168">
        <v>2750</v>
      </c>
    </row>
    <row r="31" spans="1:13">
      <c r="A31" s="4" t="s">
        <v>31</v>
      </c>
      <c r="B31" s="4"/>
      <c r="C31" s="4"/>
      <c r="D31" s="4"/>
    </row>
    <row r="32" spans="1:13">
      <c r="A32" t="s">
        <v>32</v>
      </c>
      <c r="E32" s="167">
        <v>1250</v>
      </c>
    </row>
    <row r="33" spans="1:5">
      <c r="A33" t="s">
        <v>33</v>
      </c>
      <c r="E33" s="167">
        <v>1800</v>
      </c>
    </row>
    <row r="34" spans="1:5" ht="15" thickBot="1">
      <c r="A34" s="4" t="s">
        <v>34</v>
      </c>
      <c r="B34" s="4"/>
      <c r="C34" s="4"/>
      <c r="D34" s="4"/>
      <c r="E34" s="169">
        <f>SUM(E30:E33)</f>
        <v>5800</v>
      </c>
    </row>
    <row r="35" spans="1:5" ht="15" thickTop="1">
      <c r="A35" s="4" t="s">
        <v>35</v>
      </c>
    </row>
    <row r="36" spans="1:5">
      <c r="A36" s="4" t="s">
        <v>36</v>
      </c>
    </row>
    <row r="37" spans="1:5">
      <c r="A37" t="s">
        <v>37</v>
      </c>
      <c r="E37" s="167">
        <v>500</v>
      </c>
    </row>
    <row r="38" spans="1:5">
      <c r="A38" t="s">
        <v>38</v>
      </c>
      <c r="E38" s="167">
        <v>1900</v>
      </c>
    </row>
    <row r="39" spans="1:5">
      <c r="E39" s="167">
        <f>SUM(E37:E38)</f>
        <v>2400</v>
      </c>
    </row>
    <row r="40" spans="1:5">
      <c r="A40" s="4" t="s">
        <v>39</v>
      </c>
    </row>
    <row r="41" spans="1:5">
      <c r="A41" t="s">
        <v>51</v>
      </c>
      <c r="E41" s="167">
        <v>1000</v>
      </c>
    </row>
    <row r="42" spans="1:5">
      <c r="A42" s="4" t="s">
        <v>40</v>
      </c>
    </row>
    <row r="43" spans="1:5">
      <c r="A43" t="s">
        <v>41</v>
      </c>
      <c r="E43" s="167">
        <v>2150</v>
      </c>
    </row>
    <row r="44" spans="1:5">
      <c r="A44" t="s">
        <v>42</v>
      </c>
      <c r="E44" s="167">
        <v>200</v>
      </c>
    </row>
    <row r="45" spans="1:5">
      <c r="A45" t="s">
        <v>43</v>
      </c>
      <c r="E45" s="167">
        <v>50</v>
      </c>
    </row>
    <row r="46" spans="1:5" ht="15" thickBot="1">
      <c r="A46" s="4" t="s">
        <v>44</v>
      </c>
      <c r="B46" s="4"/>
      <c r="C46" s="4"/>
      <c r="D46" s="4"/>
      <c r="E46" s="169">
        <f>SUM(E39:E45)</f>
        <v>5800</v>
      </c>
    </row>
    <row r="47" spans="1:5" ht="15" thickTop="1"/>
    <row r="48" spans="1:5">
      <c r="A48" s="4" t="s">
        <v>45</v>
      </c>
    </row>
    <row r="49" spans="1:2">
      <c r="A49" t="s">
        <v>46</v>
      </c>
    </row>
    <row r="50" spans="1:2">
      <c r="A50" t="s">
        <v>555</v>
      </c>
    </row>
    <row r="51" spans="1:2">
      <c r="A51" t="s">
        <v>556</v>
      </c>
    </row>
    <row r="52" spans="1:2">
      <c r="A52" t="s">
        <v>557</v>
      </c>
    </row>
    <row r="53" spans="1:2">
      <c r="A53" t="s">
        <v>47</v>
      </c>
    </row>
    <row r="54" spans="1:2">
      <c r="A54" t="s">
        <v>553</v>
      </c>
    </row>
    <row r="55" spans="1:2">
      <c r="A55" t="s">
        <v>48</v>
      </c>
      <c r="B55" t="s">
        <v>49</v>
      </c>
    </row>
    <row r="56" spans="1:2">
      <c r="A56" t="s">
        <v>554</v>
      </c>
    </row>
    <row r="57" spans="1:2">
      <c r="A57" t="s">
        <v>50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56722-A2C9-4DDF-9CDB-03B5C04439AB}">
  <dimension ref="A8:C52"/>
  <sheetViews>
    <sheetView workbookViewId="0">
      <selection activeCell="B37" sqref="B37"/>
    </sheetView>
  </sheetViews>
  <sheetFormatPr defaultRowHeight="14.5"/>
  <cols>
    <col min="1" max="1" width="38.26953125" bestFit="1" customWidth="1"/>
    <col min="2" max="2" width="17.54296875" customWidth="1"/>
    <col min="3" max="3" width="17" customWidth="1"/>
  </cols>
  <sheetData>
    <row r="8" spans="1:3">
      <c r="B8">
        <v>2022</v>
      </c>
      <c r="C8">
        <v>2023</v>
      </c>
    </row>
    <row r="9" spans="1:3">
      <c r="B9" t="s">
        <v>56</v>
      </c>
      <c r="C9" t="s">
        <v>56</v>
      </c>
    </row>
    <row r="10" spans="1:3" ht="24" customHeight="1">
      <c r="A10" t="s">
        <v>57</v>
      </c>
      <c r="B10" s="5">
        <v>4400</v>
      </c>
      <c r="C10" s="7">
        <v>5100</v>
      </c>
    </row>
    <row r="11" spans="1:3">
      <c r="A11" t="s">
        <v>21</v>
      </c>
      <c r="B11" s="5">
        <v>-2200</v>
      </c>
      <c r="C11" s="5">
        <v>-2850</v>
      </c>
    </row>
    <row r="12" spans="1:3">
      <c r="A12" t="s">
        <v>22</v>
      </c>
      <c r="B12">
        <v>2200</v>
      </c>
      <c r="C12">
        <v>2250</v>
      </c>
    </row>
    <row r="13" spans="1:3">
      <c r="A13" t="s">
        <v>23</v>
      </c>
      <c r="B13">
        <v>-640</v>
      </c>
      <c r="C13">
        <v>-910</v>
      </c>
    </row>
    <row r="14" spans="1:3">
      <c r="A14" t="s">
        <v>58</v>
      </c>
      <c r="B14">
        <v>1560</v>
      </c>
      <c r="C14">
        <v>1340</v>
      </c>
    </row>
    <row r="15" spans="1:3">
      <c r="A15" t="s">
        <v>59</v>
      </c>
      <c r="B15">
        <v>-45</v>
      </c>
      <c r="C15">
        <v>-60</v>
      </c>
    </row>
    <row r="16" spans="1:3">
      <c r="A16" t="s">
        <v>26</v>
      </c>
      <c r="B16">
        <v>1515</v>
      </c>
      <c r="C16">
        <v>1280</v>
      </c>
    </row>
    <row r="17" spans="1:3">
      <c r="A17" t="s">
        <v>60</v>
      </c>
      <c r="B17">
        <v>-400</v>
      </c>
      <c r="C17">
        <v>-240</v>
      </c>
    </row>
    <row r="18" spans="1:3">
      <c r="A18" t="s">
        <v>61</v>
      </c>
      <c r="B18">
        <v>1115</v>
      </c>
      <c r="C18">
        <v>1040</v>
      </c>
    </row>
    <row r="19" spans="1:3">
      <c r="A19" t="s">
        <v>62</v>
      </c>
      <c r="B19">
        <v>-50</v>
      </c>
      <c r="C19">
        <v>-65</v>
      </c>
    </row>
    <row r="20" spans="1:3">
      <c r="A20" t="s">
        <v>63</v>
      </c>
      <c r="B20">
        <v>-150</v>
      </c>
      <c r="C20">
        <v>-105</v>
      </c>
    </row>
    <row r="21" spans="1:3">
      <c r="A21" t="s">
        <v>64</v>
      </c>
      <c r="B21">
        <v>915</v>
      </c>
      <c r="C21">
        <v>870</v>
      </c>
    </row>
    <row r="26" spans="1:3">
      <c r="B26" t="s">
        <v>65</v>
      </c>
      <c r="C26" t="s">
        <v>66</v>
      </c>
    </row>
    <row r="27" spans="1:3">
      <c r="B27" t="s">
        <v>56</v>
      </c>
      <c r="C27" t="s">
        <v>56</v>
      </c>
    </row>
    <row r="28" spans="1:3">
      <c r="A28" t="s">
        <v>67</v>
      </c>
    </row>
    <row r="29" spans="1:3" ht="29">
      <c r="A29" s="8" t="s">
        <v>68</v>
      </c>
      <c r="B29" s="114"/>
      <c r="C29" s="114"/>
    </row>
    <row r="30" spans="1:3">
      <c r="A30" t="s">
        <v>69</v>
      </c>
      <c r="B30" s="114">
        <v>1400</v>
      </c>
      <c r="C30" s="114">
        <v>1800</v>
      </c>
    </row>
    <row r="31" spans="1:3">
      <c r="B31" s="114"/>
      <c r="C31" s="114"/>
    </row>
    <row r="32" spans="1:3" ht="18.75" customHeight="1">
      <c r="A32" t="s">
        <v>70</v>
      </c>
      <c r="B32" s="114"/>
      <c r="C32" s="114"/>
    </row>
    <row r="33" spans="1:3">
      <c r="A33" t="s">
        <v>32</v>
      </c>
      <c r="B33" s="114">
        <v>800</v>
      </c>
      <c r="C33" s="114">
        <v>1200</v>
      </c>
    </row>
    <row r="34" spans="1:3">
      <c r="A34" t="s">
        <v>71</v>
      </c>
      <c r="B34" s="114">
        <v>490</v>
      </c>
      <c r="C34" s="114">
        <v>600</v>
      </c>
    </row>
    <row r="35" spans="1:3">
      <c r="A35" t="s">
        <v>72</v>
      </c>
      <c r="B35" s="114">
        <v>420</v>
      </c>
      <c r="C35" s="114">
        <v>395</v>
      </c>
    </row>
    <row r="36" spans="1:3">
      <c r="B36" s="172">
        <f>SUM(B33:B35)</f>
        <v>1710</v>
      </c>
      <c r="C36" s="172">
        <f>SUM(C33:C35)</f>
        <v>2195</v>
      </c>
    </row>
    <row r="37" spans="1:3">
      <c r="A37" t="s">
        <v>34</v>
      </c>
      <c r="B37" s="114">
        <f>(SUM(B36,B30))*1</f>
        <v>3110</v>
      </c>
      <c r="C37" s="114">
        <f>(SUM(C36,C30))*1</f>
        <v>3995</v>
      </c>
    </row>
    <row r="38" spans="1:3" ht="22.5" customHeight="1">
      <c r="A38" t="s">
        <v>73</v>
      </c>
      <c r="B38" s="114"/>
      <c r="C38" s="114"/>
    </row>
    <row r="39" spans="1:3">
      <c r="A39" t="s">
        <v>74</v>
      </c>
      <c r="B39" s="114"/>
      <c r="C39" s="114"/>
    </row>
    <row r="40" spans="1:3">
      <c r="A40" t="s">
        <v>75</v>
      </c>
      <c r="B40" s="114">
        <v>1000</v>
      </c>
      <c r="C40" s="114">
        <v>1000</v>
      </c>
    </row>
    <row r="41" spans="1:3">
      <c r="A41" t="s">
        <v>76</v>
      </c>
      <c r="B41" s="114">
        <v>915</v>
      </c>
      <c r="C41" s="114">
        <v>1785</v>
      </c>
    </row>
    <row r="42" spans="1:3">
      <c r="B42" s="114">
        <f>SUM(B40:B41)</f>
        <v>1915</v>
      </c>
      <c r="C42" s="114">
        <f>SUM(C40:C41)</f>
        <v>2785</v>
      </c>
    </row>
    <row r="43" spans="1:3">
      <c r="B43" s="114"/>
      <c r="C43" s="114"/>
    </row>
    <row r="44" spans="1:3">
      <c r="B44" s="114"/>
      <c r="C44" s="114"/>
    </row>
    <row r="45" spans="1:3">
      <c r="A45" t="s">
        <v>77</v>
      </c>
      <c r="B45" s="114"/>
      <c r="C45" s="114"/>
    </row>
    <row r="46" spans="1:3">
      <c r="A46" t="s">
        <v>78</v>
      </c>
      <c r="B46" s="114">
        <v>450</v>
      </c>
      <c r="C46" s="114">
        <v>600</v>
      </c>
    </row>
    <row r="47" spans="1:3" ht="29">
      <c r="A47" s="53" t="s">
        <v>79</v>
      </c>
      <c r="B47" s="114"/>
      <c r="C47" s="114"/>
    </row>
    <row r="48" spans="1:3">
      <c r="A48" t="s">
        <v>80</v>
      </c>
      <c r="B48" s="114">
        <v>400</v>
      </c>
      <c r="C48" s="114">
        <v>240</v>
      </c>
    </row>
    <row r="49" spans="1:3">
      <c r="A49" t="s">
        <v>41</v>
      </c>
      <c r="B49" s="114">
        <v>145</v>
      </c>
      <c r="C49" s="114">
        <v>200</v>
      </c>
    </row>
    <row r="50" spans="1:3">
      <c r="A50" t="s">
        <v>81</v>
      </c>
      <c r="B50" s="114">
        <v>200</v>
      </c>
      <c r="C50" s="114">
        <v>170</v>
      </c>
    </row>
    <row r="51" spans="1:3">
      <c r="B51" s="172">
        <f>SUM(B48:B50)</f>
        <v>745</v>
      </c>
      <c r="C51" s="172">
        <f>SUM(C48:C50)</f>
        <v>610</v>
      </c>
    </row>
    <row r="52" spans="1:3">
      <c r="A52" t="s">
        <v>82</v>
      </c>
      <c r="B52" s="114">
        <f>SUM(B51,B46,B42)</f>
        <v>3110</v>
      </c>
      <c r="C52" s="114">
        <f>SUM(C51,C46,C42)</f>
        <v>3995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7BED-4B38-4B7D-A8F6-A2E722A2100D}">
  <dimension ref="A1:H49"/>
  <sheetViews>
    <sheetView topLeftCell="A33" workbookViewId="0">
      <selection activeCell="C11" sqref="C11"/>
    </sheetView>
  </sheetViews>
  <sheetFormatPr defaultRowHeight="15.5"/>
  <cols>
    <col min="1" max="1" width="53" style="40" customWidth="1"/>
    <col min="2" max="2" width="10.6328125" style="40" bestFit="1" customWidth="1"/>
    <col min="3" max="16384" width="8.7265625" style="40"/>
  </cols>
  <sheetData>
    <row r="1" spans="1:8">
      <c r="A1" s="42"/>
      <c r="B1" s="42"/>
      <c r="C1" s="42"/>
      <c r="D1" s="42" t="s">
        <v>83</v>
      </c>
      <c r="E1" s="42"/>
      <c r="F1" s="42"/>
      <c r="G1" s="42"/>
      <c r="H1" s="42"/>
    </row>
    <row r="2" spans="1:8">
      <c r="A2" s="42" t="s">
        <v>117</v>
      </c>
      <c r="B2" s="42"/>
      <c r="C2" s="42"/>
      <c r="D2" s="42"/>
      <c r="E2" s="42"/>
      <c r="F2" s="42"/>
      <c r="G2" s="42"/>
      <c r="H2" s="42"/>
    </row>
    <row r="3" spans="1:8" ht="26" customHeight="1">
      <c r="A3" s="40" t="s">
        <v>558</v>
      </c>
    </row>
    <row r="4" spans="1:8">
      <c r="A4" s="40" t="s">
        <v>559</v>
      </c>
    </row>
    <row r="5" spans="1:8" ht="15" customHeight="1">
      <c r="A5" s="40" t="s">
        <v>560</v>
      </c>
    </row>
    <row r="7" spans="1:8">
      <c r="A7" s="40" t="s">
        <v>561</v>
      </c>
    </row>
    <row r="8" spans="1:8">
      <c r="E8" s="40" t="s">
        <v>562</v>
      </c>
    </row>
    <row r="9" spans="1:8">
      <c r="E9" s="40" t="s">
        <v>563</v>
      </c>
    </row>
    <row r="11" spans="1:8">
      <c r="D11" s="42" t="s">
        <v>564</v>
      </c>
      <c r="E11" s="42"/>
      <c r="F11" s="42"/>
    </row>
    <row r="12" spans="1:8">
      <c r="D12" s="40" t="s">
        <v>565</v>
      </c>
      <c r="E12" s="40" t="s">
        <v>566</v>
      </c>
      <c r="F12" s="40" t="s">
        <v>567</v>
      </c>
    </row>
    <row r="13" spans="1:8">
      <c r="B13" s="40" t="s">
        <v>414</v>
      </c>
      <c r="D13" s="40" t="s">
        <v>568</v>
      </c>
      <c r="E13" s="40" t="s">
        <v>568</v>
      </c>
      <c r="F13" s="40" t="s">
        <v>568</v>
      </c>
    </row>
    <row r="14" spans="1:8">
      <c r="A14" s="40" t="s">
        <v>20</v>
      </c>
      <c r="B14" s="50">
        <v>4500</v>
      </c>
      <c r="D14" s="40">
        <v>2</v>
      </c>
      <c r="E14" s="40">
        <v>5</v>
      </c>
      <c r="F14" s="40">
        <v>10</v>
      </c>
    </row>
    <row r="15" spans="1:8">
      <c r="A15" s="40" t="s">
        <v>569</v>
      </c>
      <c r="B15" s="50">
        <v>-3200</v>
      </c>
      <c r="D15" s="40">
        <v>2</v>
      </c>
      <c r="E15" s="40">
        <v>5</v>
      </c>
      <c r="F15" s="40">
        <v>10</v>
      </c>
    </row>
    <row r="16" spans="1:8">
      <c r="A16" s="40" t="s">
        <v>346</v>
      </c>
      <c r="B16" s="50">
        <v>1300</v>
      </c>
    </row>
    <row r="17" spans="1:6">
      <c r="A17" s="40" t="s">
        <v>570</v>
      </c>
      <c r="B17" s="50">
        <v>15</v>
      </c>
      <c r="D17" s="40">
        <v>2</v>
      </c>
      <c r="E17" s="40">
        <v>3</v>
      </c>
      <c r="F17" s="40">
        <v>4</v>
      </c>
    </row>
    <row r="18" spans="1:6">
      <c r="A18" s="40" t="s">
        <v>571</v>
      </c>
      <c r="B18" s="50">
        <v>1315</v>
      </c>
    </row>
    <row r="19" spans="1:6">
      <c r="A19" s="40" t="s">
        <v>572</v>
      </c>
      <c r="B19" s="50">
        <v>-210</v>
      </c>
      <c r="D19" s="40">
        <v>5</v>
      </c>
      <c r="E19" s="40">
        <v>5</v>
      </c>
      <c r="F19" s="40">
        <v>5</v>
      </c>
    </row>
    <row r="20" spans="1:6">
      <c r="A20" s="40" t="s">
        <v>422</v>
      </c>
      <c r="B20" s="50">
        <v>-210</v>
      </c>
      <c r="D20" s="40">
        <v>2</v>
      </c>
      <c r="E20" s="40">
        <v>5</v>
      </c>
      <c r="F20" s="40">
        <v>10</v>
      </c>
    </row>
    <row r="21" spans="1:6">
      <c r="A21" s="40" t="s">
        <v>573</v>
      </c>
      <c r="B21" s="50">
        <v>895</v>
      </c>
    </row>
    <row r="22" spans="1:6">
      <c r="A22" s="40" t="s">
        <v>424</v>
      </c>
      <c r="B22" s="50">
        <v>-150</v>
      </c>
      <c r="D22" s="40">
        <v>5</v>
      </c>
      <c r="E22" s="40">
        <v>10</v>
      </c>
      <c r="F22" s="40">
        <v>10</v>
      </c>
    </row>
    <row r="23" spans="1:6">
      <c r="A23" s="40" t="s">
        <v>574</v>
      </c>
      <c r="B23" s="50">
        <v>745</v>
      </c>
    </row>
    <row r="24" spans="1:6">
      <c r="A24" s="40" t="s">
        <v>59</v>
      </c>
      <c r="B24" s="50">
        <v>-120</v>
      </c>
      <c r="D24" s="40">
        <v>10</v>
      </c>
      <c r="E24" s="40">
        <v>10</v>
      </c>
      <c r="F24" s="40">
        <v>10</v>
      </c>
    </row>
    <row r="25" spans="1:6">
      <c r="A25" s="40" t="s">
        <v>575</v>
      </c>
      <c r="B25" s="50">
        <v>625</v>
      </c>
    </row>
    <row r="26" spans="1:6">
      <c r="A26" s="40" t="s">
        <v>27</v>
      </c>
      <c r="B26" s="50">
        <v>-160</v>
      </c>
    </row>
    <row r="27" spans="1:6">
      <c r="A27" s="40" t="s">
        <v>576</v>
      </c>
      <c r="B27" s="50">
        <v>465</v>
      </c>
    </row>
    <row r="28" spans="1:6">
      <c r="A28" s="40" t="s">
        <v>428</v>
      </c>
      <c r="B28" s="50">
        <v>-280</v>
      </c>
      <c r="D28" s="40">
        <v>10</v>
      </c>
      <c r="E28" s="40">
        <v>10</v>
      </c>
      <c r="F28" s="40">
        <v>10</v>
      </c>
    </row>
    <row r="29" spans="1:6">
      <c r="A29" s="40" t="s">
        <v>577</v>
      </c>
      <c r="B29" s="50">
        <v>185</v>
      </c>
    </row>
    <row r="30" spans="1:6">
      <c r="A30" s="40" t="s">
        <v>430</v>
      </c>
      <c r="B30" s="50">
        <v>550</v>
      </c>
    </row>
    <row r="31" spans="1:6">
      <c r="A31" s="40" t="s">
        <v>578</v>
      </c>
      <c r="B31" s="50">
        <v>735</v>
      </c>
    </row>
    <row r="32" spans="1:6">
      <c r="A32" s="40" t="s">
        <v>398</v>
      </c>
      <c r="B32" s="50">
        <v>2200</v>
      </c>
    </row>
    <row r="33" spans="1:7">
      <c r="A33" s="40" t="s">
        <v>34</v>
      </c>
      <c r="B33" s="50">
        <v>4500</v>
      </c>
      <c r="D33" s="40">
        <v>0.05</v>
      </c>
      <c r="E33" s="40">
        <v>0.1</v>
      </c>
      <c r="F33" s="40">
        <v>0.1</v>
      </c>
    </row>
    <row r="35" spans="1:7">
      <c r="A35" s="40" t="s">
        <v>45</v>
      </c>
    </row>
    <row r="36" spans="1:7">
      <c r="A36" s="40" t="s">
        <v>579</v>
      </c>
    </row>
    <row r="37" spans="1:7">
      <c r="A37" s="40" t="s">
        <v>580</v>
      </c>
    </row>
    <row r="38" spans="1:7">
      <c r="A38" s="40" t="s">
        <v>581</v>
      </c>
    </row>
    <row r="39" spans="1:7">
      <c r="A39" s="40" t="s">
        <v>582</v>
      </c>
    </row>
    <row r="41" spans="1:7">
      <c r="A41" s="40" t="s">
        <v>47</v>
      </c>
    </row>
    <row r="42" spans="1:7">
      <c r="A42" s="40" t="s">
        <v>583</v>
      </c>
    </row>
    <row r="43" spans="1:7">
      <c r="A43" s="40" t="s">
        <v>584</v>
      </c>
      <c r="G43" s="40" t="s">
        <v>506</v>
      </c>
    </row>
    <row r="44" spans="1:7">
      <c r="A44" s="40" t="s">
        <v>585</v>
      </c>
      <c r="G44" s="40" t="s">
        <v>331</v>
      </c>
    </row>
    <row r="45" spans="1:7">
      <c r="A45" s="40" t="s">
        <v>586</v>
      </c>
      <c r="G45" s="40" t="s">
        <v>331</v>
      </c>
    </row>
    <row r="46" spans="1:7">
      <c r="A46" s="40" t="s">
        <v>587</v>
      </c>
      <c r="G46" s="40" t="s">
        <v>331</v>
      </c>
    </row>
    <row r="47" spans="1:7">
      <c r="A47" s="40" t="s">
        <v>588</v>
      </c>
    </row>
    <row r="48" spans="1:7">
      <c r="A48" s="40" t="s">
        <v>589</v>
      </c>
    </row>
    <row r="49" spans="7:7">
      <c r="G49" s="40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4E2C-E69B-4A92-A117-E5CB0D9A8DD1}">
  <dimension ref="A1:H64"/>
  <sheetViews>
    <sheetView topLeftCell="A15" workbookViewId="0">
      <selection activeCell="A20" sqref="A20:D21"/>
    </sheetView>
  </sheetViews>
  <sheetFormatPr defaultRowHeight="14.5"/>
  <cols>
    <col min="1" max="1" width="29.1796875" customWidth="1"/>
    <col min="2" max="2" width="20.26953125" customWidth="1"/>
    <col min="3" max="3" width="15.54296875" customWidth="1"/>
    <col min="4" max="4" width="12.1796875" customWidth="1"/>
    <col min="5" max="5" width="15.453125" style="114" bestFit="1" customWidth="1"/>
    <col min="6" max="8" width="12.1796875" customWidth="1"/>
  </cols>
  <sheetData>
    <row r="1" spans="1:8">
      <c r="C1" s="9" t="s">
        <v>83</v>
      </c>
    </row>
    <row r="2" spans="1:8" ht="15" customHeight="1">
      <c r="A2" s="55" t="s">
        <v>84</v>
      </c>
    </row>
    <row r="3" spans="1:8" ht="15" customHeight="1">
      <c r="A3" s="13" t="s">
        <v>85</v>
      </c>
      <c r="B3" s="13"/>
      <c r="C3" s="13"/>
      <c r="D3" s="13"/>
      <c r="E3" s="135"/>
      <c r="F3" s="13"/>
      <c r="G3" s="108"/>
      <c r="H3" s="13"/>
    </row>
    <row r="4" spans="1:8" ht="15" customHeight="1">
      <c r="A4" s="10" t="s">
        <v>86</v>
      </c>
    </row>
    <row r="5" spans="1:8">
      <c r="A5" s="13"/>
      <c r="B5" s="13"/>
      <c r="C5" s="13"/>
      <c r="D5" s="13"/>
      <c r="E5" s="135"/>
      <c r="F5" s="13"/>
      <c r="G5" s="105"/>
      <c r="H5" s="13"/>
    </row>
    <row r="6" spans="1:8">
      <c r="A6" s="55" t="s">
        <v>87</v>
      </c>
      <c r="G6" s="110"/>
    </row>
    <row r="7" spans="1:8">
      <c r="A7" s="55" t="s">
        <v>88</v>
      </c>
      <c r="G7" s="111"/>
    </row>
    <row r="8" spans="1:8">
      <c r="A8" s="11"/>
      <c r="B8" s="12">
        <v>2020</v>
      </c>
      <c r="C8" s="12">
        <v>2021</v>
      </c>
      <c r="D8" s="12">
        <v>2022</v>
      </c>
      <c r="G8" s="110"/>
      <c r="H8" s="12"/>
    </row>
    <row r="9" spans="1:8">
      <c r="A9" s="13" t="s">
        <v>89</v>
      </c>
      <c r="B9" s="14">
        <v>54000</v>
      </c>
      <c r="C9" s="14">
        <v>64800</v>
      </c>
      <c r="D9" s="14">
        <v>81000</v>
      </c>
      <c r="H9" s="14"/>
    </row>
    <row r="10" spans="1:8">
      <c r="A10" s="13" t="s">
        <v>21</v>
      </c>
      <c r="B10" s="15">
        <v>32400</v>
      </c>
      <c r="C10" s="15">
        <v>32400</v>
      </c>
      <c r="D10" s="15">
        <v>-32400</v>
      </c>
      <c r="G10" s="14"/>
      <c r="H10" s="14"/>
    </row>
    <row r="11" spans="1:8">
      <c r="A11" s="55" t="s">
        <v>22</v>
      </c>
      <c r="B11" s="16">
        <f>B9-B10</f>
        <v>21600</v>
      </c>
      <c r="C11" s="16">
        <f>C9-C10</f>
        <v>32400</v>
      </c>
      <c r="D11" s="16">
        <v>48600</v>
      </c>
      <c r="G11" s="16"/>
      <c r="H11" s="16"/>
    </row>
    <row r="12" spans="1:8">
      <c r="A12" s="13" t="s">
        <v>23</v>
      </c>
      <c r="B12" s="15">
        <v>10800</v>
      </c>
      <c r="C12" s="15">
        <v>10125</v>
      </c>
      <c r="D12" s="15">
        <v>-21094</v>
      </c>
      <c r="G12" s="14"/>
      <c r="H12" s="14"/>
    </row>
    <row r="13" spans="1:8">
      <c r="A13" s="55" t="s">
        <v>90</v>
      </c>
      <c r="B13" s="16">
        <f>B11-B12</f>
        <v>10800</v>
      </c>
      <c r="C13" s="16">
        <f>C11-C12</f>
        <v>22275</v>
      </c>
      <c r="D13" s="16">
        <v>27506</v>
      </c>
      <c r="G13" s="16"/>
      <c r="H13" s="107"/>
    </row>
    <row r="14" spans="1:8">
      <c r="A14" s="13" t="s">
        <v>91</v>
      </c>
      <c r="B14" s="17">
        <v>600</v>
      </c>
      <c r="C14" s="17">
        <v>800</v>
      </c>
      <c r="D14" s="17">
        <v>-750</v>
      </c>
      <c r="G14" s="20"/>
    </row>
    <row r="15" spans="1:8">
      <c r="A15" s="55" t="s">
        <v>92</v>
      </c>
      <c r="B15" s="16">
        <f>B13-B14</f>
        <v>10200</v>
      </c>
      <c r="C15" s="16">
        <f>C13-C14</f>
        <v>21475</v>
      </c>
      <c r="D15" s="16">
        <v>26756</v>
      </c>
      <c r="G15" s="16"/>
      <c r="H15" s="16"/>
    </row>
    <row r="16" spans="1:8" ht="22.5">
      <c r="A16" s="13" t="s">
        <v>93</v>
      </c>
      <c r="B16" s="15">
        <v>5000</v>
      </c>
      <c r="C16" s="15">
        <v>7000</v>
      </c>
      <c r="D16" s="15">
        <v>-9000</v>
      </c>
      <c r="G16" s="109"/>
      <c r="H16" s="14"/>
    </row>
    <row r="17" spans="1:8">
      <c r="A17" s="55" t="s">
        <v>26</v>
      </c>
      <c r="B17" s="16">
        <f>B15-B16</f>
        <v>5200</v>
      </c>
      <c r="C17" s="16">
        <f>C15-C16</f>
        <v>14475</v>
      </c>
      <c r="D17" s="16">
        <v>17756</v>
      </c>
      <c r="G17" s="16"/>
      <c r="H17" s="16"/>
    </row>
    <row r="18" spans="1:8">
      <c r="A18" s="13" t="s">
        <v>27</v>
      </c>
      <c r="B18" s="15">
        <v>1560</v>
      </c>
      <c r="C18" s="15">
        <v>4343</v>
      </c>
      <c r="D18" s="15">
        <v>5327</v>
      </c>
      <c r="G18" s="14"/>
      <c r="H18" s="108"/>
    </row>
    <row r="19" spans="1:8">
      <c r="A19" s="55" t="s">
        <v>261</v>
      </c>
      <c r="B19" s="16">
        <f>B17-B18</f>
        <v>3640</v>
      </c>
      <c r="C19" s="16">
        <f t="shared" ref="C19" si="0">C17-C18</f>
        <v>10132</v>
      </c>
      <c r="D19" s="16">
        <f>D17-D18</f>
        <v>12429</v>
      </c>
      <c r="G19" s="16"/>
      <c r="H19" s="16"/>
    </row>
    <row r="20" spans="1:8">
      <c r="A20" s="55"/>
      <c r="B20" s="16"/>
      <c r="C20" s="16"/>
      <c r="D20" s="16"/>
      <c r="G20" s="16"/>
      <c r="H20" s="16"/>
    </row>
    <row r="21" spans="1:8">
      <c r="A21" s="55"/>
      <c r="B21" s="16"/>
      <c r="C21" s="16"/>
      <c r="D21" s="16"/>
      <c r="G21" s="16"/>
      <c r="H21" s="16"/>
    </row>
    <row r="22" spans="1:8">
      <c r="B22" s="18"/>
      <c r="C22" s="18"/>
      <c r="D22" s="18"/>
      <c r="G22" s="16"/>
      <c r="H22" s="16"/>
    </row>
    <row r="23" spans="1:8">
      <c r="A23" s="55"/>
      <c r="B23" s="18"/>
      <c r="C23" s="18"/>
      <c r="D23" s="18"/>
      <c r="G23" s="16"/>
      <c r="H23" s="16"/>
    </row>
    <row r="24" spans="1:8">
      <c r="A24" s="55" t="s">
        <v>370</v>
      </c>
      <c r="B24" s="18"/>
      <c r="C24" s="57"/>
      <c r="D24" s="57"/>
      <c r="E24" s="136"/>
      <c r="F24" s="57"/>
      <c r="G24" s="57"/>
      <c r="H24" s="57"/>
    </row>
    <row r="25" spans="1:8">
      <c r="A25" s="55"/>
      <c r="B25" s="18"/>
      <c r="C25" s="18"/>
      <c r="D25" s="18"/>
      <c r="E25" s="137"/>
      <c r="F25" s="18"/>
      <c r="G25" s="16"/>
      <c r="H25" s="16"/>
    </row>
    <row r="26" spans="1:8">
      <c r="A26" s="4" t="s">
        <v>373</v>
      </c>
      <c r="D26" s="106"/>
      <c r="F26" s="106"/>
      <c r="G26" s="106"/>
      <c r="H26" s="106"/>
    </row>
    <row r="27" spans="1:8">
      <c r="A27" s="55" t="s">
        <v>371</v>
      </c>
      <c r="B27" s="57"/>
      <c r="C27" s="57"/>
      <c r="D27" s="57"/>
      <c r="E27" s="136"/>
      <c r="F27" s="57"/>
      <c r="G27" s="57"/>
      <c r="H27" s="57"/>
    </row>
    <row r="28" spans="1:8">
      <c r="A28" s="55"/>
      <c r="B28" s="18"/>
      <c r="C28" s="18"/>
      <c r="D28" s="18"/>
      <c r="E28" s="137"/>
      <c r="F28" s="18"/>
      <c r="G28" s="16"/>
      <c r="H28" s="16"/>
    </row>
    <row r="29" spans="1:8">
      <c r="A29" s="55" t="s">
        <v>94</v>
      </c>
      <c r="B29" s="55"/>
      <c r="C29" s="58"/>
      <c r="D29" s="58"/>
      <c r="E29" s="138"/>
      <c r="F29" s="58"/>
      <c r="G29" s="58"/>
      <c r="H29" s="58"/>
    </row>
    <row r="30" spans="1:8">
      <c r="A30" s="55" t="s">
        <v>67</v>
      </c>
      <c r="B30" s="55"/>
      <c r="C30" s="13"/>
      <c r="D30" s="13"/>
      <c r="E30" s="135"/>
      <c r="F30" s="13"/>
      <c r="G30" s="13"/>
      <c r="H30" s="13"/>
    </row>
    <row r="31" spans="1:8">
      <c r="A31" s="55" t="s">
        <v>95</v>
      </c>
      <c r="B31" s="11"/>
      <c r="C31" s="11"/>
      <c r="D31" s="11"/>
      <c r="E31" s="139"/>
      <c r="F31" s="11"/>
      <c r="G31" s="11"/>
      <c r="H31" s="11"/>
    </row>
    <row r="32" spans="1:8">
      <c r="A32" s="13" t="s">
        <v>30</v>
      </c>
      <c r="B32" s="15">
        <v>25800</v>
      </c>
      <c r="C32" s="15">
        <v>45200</v>
      </c>
      <c r="D32" s="15">
        <v>46700</v>
      </c>
      <c r="E32" s="140"/>
      <c r="F32" s="15"/>
      <c r="G32" s="14"/>
      <c r="H32" s="14"/>
    </row>
    <row r="33" spans="1:8">
      <c r="A33" s="55" t="s">
        <v>31</v>
      </c>
      <c r="B33" s="11"/>
      <c r="C33" s="11"/>
      <c r="D33" s="11"/>
      <c r="E33" s="139"/>
      <c r="F33" s="11"/>
      <c r="G33" s="11"/>
      <c r="H33" s="11"/>
    </row>
    <row r="34" spans="1:8">
      <c r="A34" s="13" t="s">
        <v>32</v>
      </c>
      <c r="B34" s="14">
        <v>15000</v>
      </c>
      <c r="C34" s="14">
        <v>21750</v>
      </c>
      <c r="D34" s="14">
        <v>27488</v>
      </c>
      <c r="E34" s="136"/>
      <c r="F34" s="14"/>
      <c r="G34" s="14"/>
      <c r="H34" s="14"/>
    </row>
    <row r="35" spans="1:8">
      <c r="A35" s="13" t="s">
        <v>96</v>
      </c>
      <c r="B35" s="14">
        <v>4500</v>
      </c>
      <c r="C35" s="14">
        <v>8750</v>
      </c>
      <c r="D35" s="14">
        <v>15460</v>
      </c>
      <c r="E35" s="136"/>
      <c r="F35" s="14"/>
      <c r="G35" s="14"/>
      <c r="H35" s="14"/>
    </row>
    <row r="36" spans="1:8">
      <c r="A36" s="13" t="s">
        <v>97</v>
      </c>
      <c r="B36" s="17">
        <v>0</v>
      </c>
      <c r="C36" s="17">
        <v>0</v>
      </c>
      <c r="D36" s="15">
        <v>3823</v>
      </c>
      <c r="E36" s="140"/>
      <c r="F36" s="15"/>
      <c r="G36" s="14"/>
      <c r="H36" s="14"/>
    </row>
    <row r="37" spans="1:8">
      <c r="A37" s="55" t="s">
        <v>98</v>
      </c>
      <c r="B37" s="19">
        <f>SUM(B34:B36)</f>
        <v>19500</v>
      </c>
      <c r="C37" s="19">
        <f t="shared" ref="C37:D37" si="1">SUM(C34:C36)</f>
        <v>30500</v>
      </c>
      <c r="D37" s="19">
        <f t="shared" si="1"/>
        <v>46771</v>
      </c>
      <c r="E37" s="141"/>
      <c r="F37" s="19"/>
      <c r="G37" s="16"/>
      <c r="H37" s="16"/>
    </row>
    <row r="38" spans="1:8">
      <c r="A38" s="55" t="s">
        <v>34</v>
      </c>
      <c r="B38" s="18">
        <f>SUM(B37,B32)</f>
        <v>45300</v>
      </c>
      <c r="C38" s="18">
        <f t="shared" ref="C38:D38" si="2">SUM(C37,C32)</f>
        <v>75700</v>
      </c>
      <c r="D38" s="18">
        <f t="shared" si="2"/>
        <v>93471</v>
      </c>
      <c r="E38" s="137"/>
      <c r="F38" s="18"/>
      <c r="G38" s="16"/>
      <c r="H38" s="16"/>
    </row>
    <row r="39" spans="1:8">
      <c r="A39" s="55" t="s">
        <v>99</v>
      </c>
      <c r="B39" s="11"/>
      <c r="C39" s="11"/>
      <c r="D39" s="11"/>
      <c r="E39" s="139"/>
      <c r="F39" s="11"/>
      <c r="G39" s="11"/>
      <c r="H39" s="11"/>
    </row>
    <row r="40" spans="1:8">
      <c r="A40" s="55" t="s">
        <v>100</v>
      </c>
      <c r="B40" s="20"/>
      <c r="C40" s="20"/>
      <c r="D40" s="20"/>
      <c r="E40" s="136"/>
      <c r="F40" s="20"/>
      <c r="G40" s="20"/>
      <c r="H40" s="20"/>
    </row>
    <row r="41" spans="1:8">
      <c r="A41" s="13" t="s">
        <v>101</v>
      </c>
      <c r="B41" s="15">
        <v>33333</v>
      </c>
      <c r="C41" s="15">
        <v>46667</v>
      </c>
      <c r="D41" s="15">
        <v>60000</v>
      </c>
      <c r="E41" s="140"/>
      <c r="F41" s="15"/>
      <c r="G41" s="14"/>
      <c r="H41" s="14"/>
    </row>
    <row r="42" spans="1:8">
      <c r="A42" s="55" t="s">
        <v>40</v>
      </c>
      <c r="B42" s="11"/>
      <c r="C42" s="11"/>
      <c r="D42" s="11"/>
      <c r="E42" s="139"/>
      <c r="F42" s="11"/>
      <c r="G42" s="11"/>
      <c r="H42" s="11"/>
    </row>
    <row r="43" spans="1:8">
      <c r="A43" s="13" t="s">
        <v>102</v>
      </c>
      <c r="B43" s="14">
        <v>3750</v>
      </c>
      <c r="C43" s="14">
        <v>6658</v>
      </c>
      <c r="D43" s="14">
        <v>7989</v>
      </c>
      <c r="E43" s="136"/>
      <c r="F43" s="14"/>
      <c r="G43" s="14"/>
      <c r="H43" s="14"/>
    </row>
    <row r="44" spans="1:8">
      <c r="A44" s="13" t="s">
        <v>43</v>
      </c>
      <c r="B44" s="15">
        <v>5297</v>
      </c>
      <c r="C44" s="15">
        <v>9322</v>
      </c>
      <c r="D44" s="17">
        <v>0</v>
      </c>
      <c r="E44" s="140"/>
      <c r="F44" s="17"/>
      <c r="G44" s="20"/>
      <c r="H44" s="20"/>
    </row>
    <row r="45" spans="1:8">
      <c r="A45" s="55" t="s">
        <v>103</v>
      </c>
      <c r="B45" s="19">
        <f>SUM(B43:B44)</f>
        <v>9047</v>
      </c>
      <c r="C45" s="19">
        <f t="shared" ref="C45:D45" si="3">SUM(C43:C44)</f>
        <v>15980</v>
      </c>
      <c r="D45" s="19">
        <f t="shared" si="3"/>
        <v>7989</v>
      </c>
      <c r="E45" s="141"/>
      <c r="F45" s="19"/>
      <c r="G45" s="16"/>
      <c r="H45" s="16"/>
    </row>
    <row r="46" spans="1:8">
      <c r="A46" s="55" t="s">
        <v>104</v>
      </c>
      <c r="B46" s="11"/>
      <c r="C46" s="11"/>
      <c r="D46" s="11"/>
      <c r="E46" s="139"/>
      <c r="F46" s="11"/>
      <c r="G46" s="11"/>
      <c r="H46" s="11"/>
    </row>
    <row r="47" spans="1:8">
      <c r="A47" s="13" t="s">
        <v>105</v>
      </c>
      <c r="B47" s="14">
        <v>10000</v>
      </c>
      <c r="C47" s="14">
        <v>10000</v>
      </c>
      <c r="D47" s="14">
        <v>10000</v>
      </c>
      <c r="E47" s="136"/>
      <c r="F47" s="14"/>
      <c r="G47" s="14"/>
      <c r="H47" s="14"/>
    </row>
    <row r="48" spans="1:8">
      <c r="A48" s="13" t="s">
        <v>38</v>
      </c>
      <c r="B48" s="15">
        <v>-7080</v>
      </c>
      <c r="C48" s="15">
        <v>3053</v>
      </c>
      <c r="D48" s="15">
        <v>15482</v>
      </c>
      <c r="E48" s="140"/>
      <c r="F48" s="15"/>
      <c r="G48" s="14"/>
      <c r="H48" s="14"/>
    </row>
    <row r="49" spans="1:8">
      <c r="A49" s="55" t="s">
        <v>372</v>
      </c>
      <c r="B49" s="19">
        <f>SUM(B47:B48)</f>
        <v>2920</v>
      </c>
      <c r="C49" s="19">
        <f t="shared" ref="C49:D49" si="4">SUM(C47:C48)</f>
        <v>13053</v>
      </c>
      <c r="D49" s="19">
        <f t="shared" si="4"/>
        <v>25482</v>
      </c>
      <c r="E49" s="141"/>
      <c r="F49" s="19"/>
      <c r="G49" s="16"/>
      <c r="H49" s="16"/>
    </row>
    <row r="50" spans="1:8">
      <c r="A50" s="55" t="s">
        <v>44</v>
      </c>
      <c r="B50" s="18">
        <f>SUM(B49,B45,B41)</f>
        <v>45300</v>
      </c>
      <c r="C50" s="18">
        <f t="shared" ref="C50:D50" si="5">SUM(C49,C45,C41)</f>
        <v>75700</v>
      </c>
      <c r="D50" s="18">
        <f t="shared" si="5"/>
        <v>93471</v>
      </c>
      <c r="E50" s="137"/>
      <c r="F50" s="18"/>
      <c r="G50" s="16"/>
      <c r="H50" s="16"/>
    </row>
    <row r="51" spans="1:8" ht="15" hidden="1" customHeight="1">
      <c r="A51" s="10" t="s">
        <v>106</v>
      </c>
    </row>
    <row r="53" spans="1:8" ht="20.149999999999999" customHeight="1">
      <c r="A53" s="26" t="s">
        <v>107</v>
      </c>
      <c r="B53" s="26"/>
    </row>
    <row r="54" spans="1:8" s="26" customFormat="1" ht="20.149999999999999" customHeight="1">
      <c r="A54" s="26" t="s">
        <v>108</v>
      </c>
      <c r="E54" s="142"/>
    </row>
    <row r="55" spans="1:8" s="26" customFormat="1" ht="20.149999999999999" customHeight="1">
      <c r="A55" s="26" t="s">
        <v>109</v>
      </c>
      <c r="E55" s="142"/>
    </row>
    <row r="56" spans="1:8" s="26" customFormat="1" ht="20.149999999999999" customHeight="1">
      <c r="A56" s="26" t="s">
        <v>110</v>
      </c>
      <c r="E56" s="142"/>
    </row>
    <row r="57" spans="1:8" s="26" customFormat="1" ht="15" customHeight="1">
      <c r="A57" s="26" t="s">
        <v>111</v>
      </c>
      <c r="E57" s="142"/>
    </row>
    <row r="58" spans="1:8" s="10" customFormat="1" ht="15" customHeight="1">
      <c r="C58"/>
      <c r="D58"/>
      <c r="E58" s="114"/>
      <c r="F58"/>
      <c r="G58"/>
      <c r="H58"/>
    </row>
    <row r="59" spans="1:8" s="10" customFormat="1" ht="15" customHeight="1">
      <c r="C59"/>
      <c r="D59"/>
      <c r="E59" s="114"/>
      <c r="F59"/>
      <c r="G59"/>
      <c r="H59"/>
    </row>
    <row r="60" spans="1:8" ht="15" customHeight="1">
      <c r="A60" s="26" t="s">
        <v>112</v>
      </c>
      <c r="B60" s="26"/>
    </row>
    <row r="61" spans="1:8">
      <c r="A61" s="21" t="s">
        <v>113</v>
      </c>
    </row>
    <row r="62" spans="1:8">
      <c r="A62" s="10" t="s">
        <v>114</v>
      </c>
    </row>
    <row r="63" spans="1:8">
      <c r="A63" s="10" t="s">
        <v>115</v>
      </c>
    </row>
    <row r="64" spans="1:8">
      <c r="A64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5360-5980-41FF-9728-CA7D94876A0A}">
  <dimension ref="A2:E53"/>
  <sheetViews>
    <sheetView topLeftCell="A33" zoomScale="85" zoomScaleNormal="85" workbookViewId="0">
      <selection activeCell="C14" sqref="C14"/>
    </sheetView>
  </sheetViews>
  <sheetFormatPr defaultRowHeight="14.5"/>
  <cols>
    <col min="1" max="1" width="35" customWidth="1"/>
    <col min="2" max="2" width="11.26953125" bestFit="1" customWidth="1"/>
    <col min="3" max="3" width="15" bestFit="1" customWidth="1"/>
    <col min="4" max="5" width="11.26953125" bestFit="1" customWidth="1"/>
  </cols>
  <sheetData>
    <row r="2" spans="1:5">
      <c r="A2" s="55" t="s">
        <v>83</v>
      </c>
      <c r="B2" s="55"/>
    </row>
    <row r="3" spans="1:5">
      <c r="A3" s="22" t="s">
        <v>116</v>
      </c>
    </row>
    <row r="4" spans="1:5">
      <c r="A4" s="55" t="s">
        <v>117</v>
      </c>
      <c r="B4" s="23"/>
    </row>
    <row r="5" spans="1:5">
      <c r="A5" s="13" t="s">
        <v>118</v>
      </c>
      <c r="B5" s="13"/>
      <c r="C5" s="13"/>
      <c r="D5" s="13"/>
      <c r="E5" s="13"/>
    </row>
    <row r="6" spans="1:5" s="13" customFormat="1" ht="13">
      <c r="A6" s="13" t="s">
        <v>119</v>
      </c>
    </row>
    <row r="7" spans="1:5" s="13" customFormat="1" ht="13">
      <c r="A7" s="55" t="s">
        <v>120</v>
      </c>
    </row>
    <row r="8" spans="1:5" s="13" customFormat="1" ht="13"/>
    <row r="9" spans="1:5">
      <c r="A9" s="55" t="s">
        <v>121</v>
      </c>
      <c r="B9" s="12">
        <v>2019</v>
      </c>
      <c r="C9" s="12">
        <v>2020</v>
      </c>
      <c r="D9" s="12">
        <v>2021</v>
      </c>
      <c r="E9" s="12">
        <v>2022</v>
      </c>
    </row>
    <row r="10" spans="1:5" ht="15">
      <c r="A10" s="55"/>
      <c r="B10" s="24" t="s">
        <v>122</v>
      </c>
      <c r="C10" s="24" t="s">
        <v>122</v>
      </c>
      <c r="D10" s="24" t="s">
        <v>122</v>
      </c>
      <c r="E10" s="24" t="s">
        <v>122</v>
      </c>
    </row>
    <row r="11" spans="1:5" ht="15.5">
      <c r="A11" s="13" t="s">
        <v>89</v>
      </c>
      <c r="B11" s="25">
        <v>54000</v>
      </c>
      <c r="C11" s="25">
        <v>64800</v>
      </c>
      <c r="D11" s="25">
        <v>81000</v>
      </c>
      <c r="E11" s="25">
        <v>95580</v>
      </c>
    </row>
    <row r="12" spans="1:5" ht="15.5">
      <c r="A12" s="26" t="s">
        <v>21</v>
      </c>
      <c r="B12" s="27">
        <v>-32400</v>
      </c>
      <c r="C12" s="27">
        <v>-32400</v>
      </c>
      <c r="D12" s="27">
        <v>-32400</v>
      </c>
      <c r="E12" s="27">
        <v>-38232</v>
      </c>
    </row>
    <row r="13" spans="1:5" ht="15.5">
      <c r="A13" s="28" t="s">
        <v>22</v>
      </c>
      <c r="B13" s="29">
        <f>SUM(B11:B12)</f>
        <v>21600</v>
      </c>
      <c r="C13" s="29">
        <f t="shared" ref="C13:E13" si="0">SUM(C11:C12)</f>
        <v>32400</v>
      </c>
      <c r="D13" s="29">
        <f t="shared" si="0"/>
        <v>48600</v>
      </c>
      <c r="E13" s="29">
        <f t="shared" si="0"/>
        <v>57348</v>
      </c>
    </row>
    <row r="14" spans="1:5" ht="15.5">
      <c r="A14" s="26" t="s">
        <v>23</v>
      </c>
      <c r="B14" s="27">
        <v>-10800</v>
      </c>
      <c r="C14" s="27">
        <v>-10125</v>
      </c>
      <c r="D14" s="27">
        <v>-21094</v>
      </c>
      <c r="E14" s="27">
        <v>-14934</v>
      </c>
    </row>
    <row r="15" spans="1:5" ht="15.5">
      <c r="A15" s="28" t="s">
        <v>90</v>
      </c>
      <c r="B15" s="29">
        <f>SUM(B13:B14)</f>
        <v>10800</v>
      </c>
      <c r="C15" s="29">
        <f t="shared" ref="C15:E15" si="1">SUM(C13:C14)</f>
        <v>22275</v>
      </c>
      <c r="D15" s="29">
        <f t="shared" si="1"/>
        <v>27506</v>
      </c>
      <c r="E15" s="29">
        <f t="shared" si="1"/>
        <v>42414</v>
      </c>
    </row>
    <row r="16" spans="1:5" ht="15.5">
      <c r="A16" s="26" t="s">
        <v>91</v>
      </c>
      <c r="B16" s="27">
        <v>-600</v>
      </c>
      <c r="C16" s="27">
        <v>-800</v>
      </c>
      <c r="D16" s="27">
        <v>-750</v>
      </c>
      <c r="E16" s="27">
        <v>-900</v>
      </c>
    </row>
    <row r="17" spans="1:5" ht="15.5">
      <c r="A17" s="28" t="s">
        <v>92</v>
      </c>
      <c r="B17" s="29">
        <f>SUM(B15:B16)</f>
        <v>10200</v>
      </c>
      <c r="C17" s="29">
        <f t="shared" ref="C17:E17" si="2">SUM(C15:C16)</f>
        <v>21475</v>
      </c>
      <c r="D17" s="29">
        <f t="shared" si="2"/>
        <v>26756</v>
      </c>
      <c r="E17" s="29">
        <f t="shared" si="2"/>
        <v>41514</v>
      </c>
    </row>
    <row r="18" spans="1:5" ht="15.5">
      <c r="A18" s="26" t="s">
        <v>93</v>
      </c>
      <c r="B18" s="27">
        <v>-5000</v>
      </c>
      <c r="C18" s="27">
        <v>-7000</v>
      </c>
      <c r="D18" s="27">
        <v>-9000</v>
      </c>
      <c r="E18" s="27">
        <v>-8000</v>
      </c>
    </row>
    <row r="19" spans="1:5" ht="15.5">
      <c r="A19" s="28" t="s">
        <v>26</v>
      </c>
      <c r="B19" s="29">
        <f>SUM(B17:B18)</f>
        <v>5200</v>
      </c>
      <c r="C19" s="29">
        <f t="shared" ref="C19:E19" si="3">SUM(C17:C18)</f>
        <v>14475</v>
      </c>
      <c r="D19" s="29">
        <f t="shared" si="3"/>
        <v>17756</v>
      </c>
      <c r="E19" s="29">
        <f t="shared" si="3"/>
        <v>33514</v>
      </c>
    </row>
    <row r="20" spans="1:5" ht="15.5">
      <c r="A20" s="26" t="s">
        <v>27</v>
      </c>
      <c r="B20" s="27">
        <v>-1560</v>
      </c>
      <c r="C20" s="27">
        <v>-4343</v>
      </c>
      <c r="D20" s="27">
        <v>-5327</v>
      </c>
      <c r="E20" s="27">
        <v>-10054</v>
      </c>
    </row>
    <row r="21" spans="1:5" ht="15.5">
      <c r="A21" s="28" t="s">
        <v>123</v>
      </c>
      <c r="B21" s="30">
        <f>SUM(B19:B20)</f>
        <v>3640</v>
      </c>
      <c r="C21" s="30">
        <f t="shared" ref="C21:E21" si="4">SUM(C19:C20)</f>
        <v>10132</v>
      </c>
      <c r="D21" s="30">
        <f t="shared" si="4"/>
        <v>12429</v>
      </c>
      <c r="E21" s="30">
        <f t="shared" si="4"/>
        <v>23460</v>
      </c>
    </row>
    <row r="22" spans="1:5" ht="15.5">
      <c r="A22" s="28" t="s">
        <v>262</v>
      </c>
      <c r="B22" s="30">
        <v>0</v>
      </c>
      <c r="C22" s="30">
        <f>B23</f>
        <v>3640</v>
      </c>
      <c r="D22" s="30">
        <f>C23</f>
        <v>13772</v>
      </c>
      <c r="E22" s="30">
        <f t="shared" ref="E22" si="5">D23</f>
        <v>26201</v>
      </c>
    </row>
    <row r="23" spans="1:5" ht="15.5">
      <c r="A23" s="28" t="s">
        <v>263</v>
      </c>
      <c r="B23" s="30">
        <f>B21+B22</f>
        <v>3640</v>
      </c>
      <c r="C23" s="30">
        <f t="shared" ref="C23:D23" si="6">C21+C22</f>
        <v>13772</v>
      </c>
      <c r="D23" s="30">
        <f t="shared" si="6"/>
        <v>26201</v>
      </c>
      <c r="E23" s="30">
        <f>E21+E22</f>
        <v>49661</v>
      </c>
    </row>
    <row r="24" spans="1:5" ht="15.5">
      <c r="A24" s="28"/>
      <c r="B24" s="30"/>
      <c r="C24" s="30"/>
      <c r="D24" s="30"/>
      <c r="E24" s="30"/>
    </row>
    <row r="25" spans="1:5" ht="15.5">
      <c r="A25" s="28" t="s">
        <v>374</v>
      </c>
      <c r="B25" s="30"/>
      <c r="C25" s="112"/>
      <c r="D25" s="112"/>
      <c r="E25" s="112"/>
    </row>
    <row r="26" spans="1:5" ht="15.5">
      <c r="A26" s="28" t="s">
        <v>375</v>
      </c>
      <c r="B26" s="30"/>
      <c r="C26" s="30"/>
      <c r="D26" s="30"/>
      <c r="E26" s="113"/>
    </row>
    <row r="27" spans="1:5">
      <c r="A27" s="28" t="s">
        <v>376</v>
      </c>
      <c r="B27" s="1"/>
      <c r="C27" s="1"/>
      <c r="D27" s="1"/>
      <c r="E27" s="1"/>
    </row>
    <row r="28" spans="1:5">
      <c r="A28" s="28" t="s">
        <v>55</v>
      </c>
      <c r="B28" s="1"/>
      <c r="C28" s="1"/>
      <c r="D28" s="1"/>
      <c r="E28" s="1"/>
    </row>
    <row r="29" spans="1:5" ht="15.5">
      <c r="A29" s="28"/>
      <c r="D29" s="30"/>
      <c r="E29" s="30"/>
    </row>
    <row r="30" spans="1:5">
      <c r="A30" s="26" t="s">
        <v>124</v>
      </c>
      <c r="B30" s="26"/>
      <c r="C30" s="26"/>
      <c r="D30" s="26"/>
    </row>
    <row r="31" spans="1:5">
      <c r="C31" s="26"/>
      <c r="D31" s="26"/>
    </row>
    <row r="32" spans="1:5">
      <c r="A32" s="54" t="s">
        <v>125</v>
      </c>
      <c r="B32" s="6"/>
      <c r="C32" s="26"/>
      <c r="D32" s="26"/>
    </row>
    <row r="33" spans="1:5">
      <c r="A33" s="6"/>
      <c r="B33" s="6"/>
      <c r="C33" s="26"/>
      <c r="D33" s="26"/>
    </row>
    <row r="34" spans="1:5">
      <c r="A34" s="21" t="s">
        <v>126</v>
      </c>
      <c r="B34" s="6"/>
      <c r="C34" s="26"/>
      <c r="D34" s="26"/>
    </row>
    <row r="35" spans="1:5">
      <c r="A35" s="54"/>
      <c r="B35" s="54"/>
      <c r="C35" s="26"/>
      <c r="D35" s="26"/>
    </row>
    <row r="36" spans="1:5">
      <c r="A36" s="26" t="s">
        <v>127</v>
      </c>
      <c r="B36" s="26"/>
      <c r="C36" s="26"/>
      <c r="D36" s="26"/>
      <c r="E36" s="26"/>
    </row>
    <row r="37" spans="1:5">
      <c r="A37" s="31"/>
    </row>
    <row r="38" spans="1:5">
      <c r="A38" s="26" t="s">
        <v>377</v>
      </c>
      <c r="B38" s="26"/>
      <c r="C38" s="26"/>
      <c r="D38" s="26"/>
    </row>
    <row r="39" spans="1:5">
      <c r="A39" s="26" t="s">
        <v>128</v>
      </c>
      <c r="B39" s="26"/>
      <c r="C39" s="26"/>
      <c r="D39" s="26"/>
      <c r="E39" s="26"/>
    </row>
    <row r="40" spans="1:5">
      <c r="A40" s="10" t="s">
        <v>129</v>
      </c>
      <c r="B40" s="32"/>
      <c r="C40" s="32"/>
      <c r="D40" s="32"/>
      <c r="E40" s="32"/>
    </row>
    <row r="41" spans="1:5">
      <c r="A41" s="54" t="s">
        <v>130</v>
      </c>
      <c r="B41" s="32"/>
      <c r="C41" s="32"/>
      <c r="D41" s="32"/>
      <c r="E41" s="32"/>
    </row>
    <row r="42" spans="1:5">
      <c r="A42" s="54" t="s">
        <v>131</v>
      </c>
      <c r="B42" s="32"/>
      <c r="C42" s="32"/>
      <c r="D42" s="32"/>
      <c r="E42" s="32"/>
    </row>
    <row r="43" spans="1:5">
      <c r="A43" s="54" t="s">
        <v>132</v>
      </c>
      <c r="B43" s="32"/>
      <c r="C43" s="32"/>
      <c r="D43" s="32"/>
      <c r="E43" s="32"/>
    </row>
    <row r="44" spans="1:5">
      <c r="A44" s="54" t="s">
        <v>133</v>
      </c>
      <c r="B44" s="32"/>
      <c r="C44" s="32"/>
      <c r="D44" s="32"/>
      <c r="E44" s="32"/>
    </row>
    <row r="45" spans="1:5">
      <c r="A45" s="54" t="s">
        <v>134</v>
      </c>
      <c r="B45" s="32"/>
      <c r="C45" s="32"/>
      <c r="D45" s="32"/>
      <c r="E45" s="32"/>
    </row>
    <row r="46" spans="1:5">
      <c r="A46" s="26" t="s">
        <v>135</v>
      </c>
      <c r="B46" s="26"/>
    </row>
    <row r="47" spans="1:5">
      <c r="A47" s="10" t="s">
        <v>136</v>
      </c>
    </row>
    <row r="48" spans="1:5">
      <c r="A48" s="10" t="s">
        <v>137</v>
      </c>
    </row>
    <row r="49" spans="1:1">
      <c r="A49" s="54" t="s">
        <v>138</v>
      </c>
    </row>
    <row r="50" spans="1:1">
      <c r="A50" s="10" t="s">
        <v>139</v>
      </c>
    </row>
    <row r="52" spans="1:1">
      <c r="A52" s="33" t="s">
        <v>47</v>
      </c>
    </row>
    <row r="53" spans="1:1">
      <c r="A53" s="10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8C1B-F1E2-40C1-8DDC-CBC4229DF79A}">
  <dimension ref="A1:L77"/>
  <sheetViews>
    <sheetView topLeftCell="A55" workbookViewId="0">
      <selection activeCell="B51" sqref="B51"/>
    </sheetView>
  </sheetViews>
  <sheetFormatPr defaultRowHeight="14.5"/>
  <cols>
    <col min="1" max="1" width="36" customWidth="1"/>
    <col min="2" max="2" width="24.08984375" customWidth="1"/>
  </cols>
  <sheetData>
    <row r="1" spans="1:12" ht="15.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5">
      <c r="A2" s="42" t="s">
        <v>265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.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.5">
      <c r="A4" s="42" t="s">
        <v>590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5.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5.5">
      <c r="A6" s="42" t="s">
        <v>410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5.5">
      <c r="A7" s="40" t="s">
        <v>591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5.5">
      <c r="A8" s="40" t="s">
        <v>592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15.5">
      <c r="A10" s="40" t="s">
        <v>593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15.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ht="15.5">
      <c r="A12" s="40" t="s">
        <v>594</v>
      </c>
      <c r="B12" s="40">
        <v>2022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2" ht="15.5">
      <c r="A13" s="42"/>
      <c r="B13" s="42" t="s">
        <v>414</v>
      </c>
      <c r="C13" s="42" t="s">
        <v>595</v>
      </c>
      <c r="D13" s="42"/>
      <c r="E13" s="40"/>
      <c r="F13" s="40"/>
      <c r="G13" s="40"/>
      <c r="H13" s="40"/>
      <c r="I13" s="40"/>
      <c r="J13" s="40"/>
      <c r="K13" s="40"/>
      <c r="L13" s="40"/>
    </row>
    <row r="14" spans="1:12" ht="15.5">
      <c r="A14" s="40" t="s">
        <v>20</v>
      </c>
      <c r="B14" s="179">
        <v>3000</v>
      </c>
      <c r="C14" s="40"/>
      <c r="D14" s="40">
        <v>0.1</v>
      </c>
      <c r="E14" s="40"/>
      <c r="F14" s="40"/>
      <c r="G14" s="40"/>
      <c r="H14" s="40"/>
      <c r="I14" s="40"/>
      <c r="J14" s="40"/>
      <c r="K14" s="40"/>
      <c r="L14" s="40"/>
    </row>
    <row r="15" spans="1:12" ht="15.5">
      <c r="A15" s="40" t="s">
        <v>21</v>
      </c>
      <c r="B15" s="179">
        <v>-2000</v>
      </c>
      <c r="C15" s="40"/>
      <c r="D15" s="40">
        <v>0.1</v>
      </c>
      <c r="E15" s="40"/>
      <c r="F15" s="40"/>
      <c r="G15" s="40"/>
      <c r="H15" s="40"/>
      <c r="I15" s="40"/>
      <c r="J15" s="40"/>
      <c r="K15" s="40"/>
      <c r="L15" s="40"/>
    </row>
    <row r="16" spans="1:12" ht="15.5">
      <c r="A16" s="40" t="s">
        <v>22</v>
      </c>
      <c r="B16" s="179">
        <v>1000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ht="15.5">
      <c r="A17" s="40" t="s">
        <v>572</v>
      </c>
      <c r="B17" s="179">
        <v>-250</v>
      </c>
      <c r="C17" s="40"/>
      <c r="D17" s="40">
        <v>0.05</v>
      </c>
      <c r="E17" s="40"/>
      <c r="F17" s="40"/>
      <c r="G17" s="40"/>
      <c r="H17" s="40"/>
      <c r="I17" s="40"/>
      <c r="J17" s="40"/>
      <c r="K17" s="40"/>
      <c r="L17" s="40"/>
    </row>
    <row r="18" spans="1:12" ht="15.5">
      <c r="A18" s="40" t="s">
        <v>389</v>
      </c>
      <c r="B18" s="179">
        <v>-200</v>
      </c>
      <c r="C18" s="40"/>
      <c r="D18" s="40">
        <v>0.1</v>
      </c>
      <c r="E18" s="40"/>
      <c r="F18" s="40"/>
      <c r="G18" s="40"/>
      <c r="H18" s="40"/>
      <c r="I18" s="40"/>
      <c r="J18" s="40"/>
      <c r="K18" s="40"/>
      <c r="L18" s="40"/>
    </row>
    <row r="19" spans="1:12" ht="15.5">
      <c r="A19" s="40" t="s">
        <v>93</v>
      </c>
      <c r="B19" s="179">
        <v>-50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15.5">
      <c r="A20" s="40" t="s">
        <v>26</v>
      </c>
      <c r="B20" s="179">
        <v>500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ht="15.5">
      <c r="A21" s="40" t="s">
        <v>27</v>
      </c>
      <c r="B21" s="179">
        <v>-120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5.5">
      <c r="A22" s="40" t="s">
        <v>378</v>
      </c>
      <c r="B22" s="179">
        <v>380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ht="15.5">
      <c r="A23" s="40" t="s">
        <v>428</v>
      </c>
      <c r="B23" s="179">
        <v>-100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ht="15.5">
      <c r="A24" s="40" t="s">
        <v>596</v>
      </c>
      <c r="B24" s="179">
        <v>280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ht="15.5">
      <c r="A25" s="40"/>
      <c r="B25" s="179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 ht="15.5">
      <c r="A26" s="42" t="s">
        <v>597</v>
      </c>
      <c r="B26" s="42"/>
      <c r="C26" s="42"/>
      <c r="D26" s="42"/>
      <c r="E26" s="40"/>
      <c r="F26" s="40"/>
      <c r="G26" s="40"/>
      <c r="H26" s="40"/>
      <c r="I26" s="40"/>
      <c r="J26" s="40"/>
      <c r="K26" s="40"/>
      <c r="L26" s="40"/>
    </row>
    <row r="27" spans="1:12" ht="15.5">
      <c r="A27" s="42"/>
      <c r="B27" s="128">
        <v>2022</v>
      </c>
      <c r="C27" s="42"/>
      <c r="D27" s="42"/>
      <c r="E27" s="40"/>
      <c r="F27" s="40"/>
      <c r="G27" s="40"/>
      <c r="H27" s="40"/>
      <c r="I27" s="40"/>
      <c r="J27" s="40"/>
      <c r="K27" s="40"/>
      <c r="L27" s="40"/>
    </row>
    <row r="28" spans="1:12" ht="15.5">
      <c r="A28" s="42" t="s">
        <v>598</v>
      </c>
      <c r="B28" s="143" t="s">
        <v>414</v>
      </c>
      <c r="C28" s="42" t="s">
        <v>599</v>
      </c>
      <c r="D28" s="42"/>
      <c r="E28" s="40"/>
      <c r="F28" s="40"/>
      <c r="G28" s="40"/>
      <c r="H28" s="40"/>
      <c r="I28" s="40"/>
      <c r="J28" s="40"/>
      <c r="K28" s="40"/>
      <c r="L28" s="40"/>
    </row>
    <row r="29" spans="1:12" ht="15.5">
      <c r="A29" s="42" t="s">
        <v>600</v>
      </c>
      <c r="B29" s="173"/>
      <c r="C29" s="42"/>
      <c r="D29" s="42"/>
      <c r="E29" s="40"/>
      <c r="F29" s="40"/>
      <c r="G29" s="40"/>
      <c r="H29" s="40"/>
      <c r="I29" s="40"/>
      <c r="J29" s="40"/>
      <c r="K29" s="40"/>
      <c r="L29" s="40"/>
    </row>
    <row r="30" spans="1:12" ht="15.5">
      <c r="A30" s="40" t="s">
        <v>30</v>
      </c>
      <c r="B30" s="174">
        <v>4000</v>
      </c>
      <c r="C30" s="40"/>
      <c r="D30" s="40">
        <v>0.05</v>
      </c>
      <c r="E30" s="40"/>
      <c r="F30" s="40"/>
      <c r="G30" s="40"/>
      <c r="H30" s="40"/>
      <c r="I30" s="40"/>
      <c r="J30" s="40"/>
      <c r="K30" s="40"/>
      <c r="L30" s="40"/>
    </row>
    <row r="31" spans="1:12" ht="15.5">
      <c r="A31" s="40"/>
      <c r="B31" s="174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5">
      <c r="A32" s="42" t="s">
        <v>31</v>
      </c>
      <c r="B32" s="173"/>
      <c r="C32" s="42"/>
      <c r="D32" s="42"/>
      <c r="E32" s="40"/>
      <c r="F32" s="40"/>
      <c r="G32" s="40"/>
      <c r="H32" s="40"/>
      <c r="I32" s="40"/>
      <c r="J32" s="40"/>
      <c r="K32" s="40"/>
      <c r="L32" s="40"/>
    </row>
    <row r="33" spans="1:12" ht="15.5">
      <c r="A33" s="40" t="s">
        <v>32</v>
      </c>
      <c r="B33" s="174">
        <v>310</v>
      </c>
      <c r="C33" s="40"/>
      <c r="D33" s="40">
        <v>0.1</v>
      </c>
      <c r="E33" s="40"/>
      <c r="F33" s="40"/>
      <c r="G33" s="40"/>
      <c r="H33" s="40"/>
      <c r="I33" s="40"/>
      <c r="J33" s="40"/>
      <c r="K33" s="40"/>
      <c r="L33" s="40"/>
    </row>
    <row r="34" spans="1:12" ht="15.5">
      <c r="A34" s="40" t="s">
        <v>96</v>
      </c>
      <c r="B34" s="174">
        <v>450</v>
      </c>
      <c r="C34" s="40"/>
      <c r="D34" s="40">
        <v>0.1</v>
      </c>
      <c r="E34" s="40"/>
      <c r="F34" s="40"/>
      <c r="G34" s="40"/>
      <c r="H34" s="40"/>
      <c r="I34" s="40"/>
      <c r="J34" s="40"/>
      <c r="K34" s="40"/>
      <c r="L34" s="40"/>
    </row>
    <row r="35" spans="1:12" ht="15.5">
      <c r="A35" s="40" t="s">
        <v>601</v>
      </c>
      <c r="B35" s="174">
        <v>120</v>
      </c>
      <c r="C35" s="40"/>
      <c r="D35" s="40">
        <v>0.05</v>
      </c>
      <c r="E35" s="40"/>
      <c r="F35" s="40"/>
      <c r="G35" s="40"/>
      <c r="H35" s="40"/>
      <c r="I35" s="40"/>
      <c r="J35" s="40"/>
      <c r="K35" s="40"/>
      <c r="L35" s="40"/>
    </row>
    <row r="36" spans="1:12" ht="15.5">
      <c r="A36" s="40"/>
      <c r="B36" s="174">
        <v>880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ht="15.5">
      <c r="A37" s="40" t="s">
        <v>34</v>
      </c>
      <c r="B37" s="174">
        <v>4880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ht="15.5">
      <c r="A38" s="40"/>
      <c r="B38" s="174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ht="15.5">
      <c r="A39" s="42" t="s">
        <v>35</v>
      </c>
      <c r="B39" s="173"/>
      <c r="C39" s="42"/>
      <c r="D39" s="42"/>
      <c r="E39" s="40"/>
      <c r="F39" s="40"/>
      <c r="G39" s="40"/>
      <c r="H39" s="40"/>
      <c r="I39" s="40"/>
      <c r="J39" s="40"/>
      <c r="K39" s="40"/>
      <c r="L39" s="40"/>
    </row>
    <row r="40" spans="1:12" ht="15.5">
      <c r="A40" s="42" t="s">
        <v>104</v>
      </c>
      <c r="B40" s="174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ht="15.5">
      <c r="A41" s="40" t="s">
        <v>602</v>
      </c>
      <c r="B41" s="174">
        <v>1000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ht="15.5">
      <c r="A42" s="40" t="s">
        <v>436</v>
      </c>
      <c r="B42" s="174">
        <v>500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ht="15.5">
      <c r="A43" s="40" t="s">
        <v>437</v>
      </c>
      <c r="B43" s="174">
        <v>800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ht="15.5">
      <c r="A44" s="40" t="s">
        <v>398</v>
      </c>
      <c r="B44" s="174">
        <v>2300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ht="15.5">
      <c r="A45" s="40" t="s">
        <v>603</v>
      </c>
      <c r="B45" s="174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ht="15.5">
      <c r="A46" s="40" t="s">
        <v>604</v>
      </c>
      <c r="B46" s="174">
        <v>2000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ht="15.5">
      <c r="A47" s="40"/>
      <c r="B47" s="174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ht="15.5">
      <c r="A48" s="42" t="s">
        <v>40</v>
      </c>
      <c r="B48" s="173"/>
      <c r="C48" s="42"/>
      <c r="D48" s="42"/>
      <c r="E48" s="40"/>
      <c r="F48" s="40"/>
      <c r="G48" s="40"/>
      <c r="H48" s="40"/>
      <c r="I48" s="40"/>
      <c r="J48" s="40"/>
      <c r="K48" s="40"/>
      <c r="L48" s="40"/>
    </row>
    <row r="49" spans="1:12" ht="15.5">
      <c r="A49" s="40" t="s">
        <v>41</v>
      </c>
      <c r="B49" s="174">
        <v>580</v>
      </c>
      <c r="C49" s="40"/>
      <c r="D49" s="40">
        <v>0.1</v>
      </c>
      <c r="E49" s="40"/>
      <c r="F49" s="40"/>
      <c r="G49" s="40"/>
      <c r="H49" s="40"/>
      <c r="I49" s="40"/>
      <c r="J49" s="40"/>
      <c r="K49" s="40"/>
      <c r="L49" s="40"/>
    </row>
    <row r="50" spans="1:12" ht="15.5">
      <c r="A50" s="40" t="s">
        <v>441</v>
      </c>
      <c r="B50" s="174">
        <v>2580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ht="15.5">
      <c r="A51" s="40" t="s">
        <v>44</v>
      </c>
      <c r="B51" s="174">
        <v>4880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15.5">
      <c r="A52" s="40"/>
      <c r="B52" s="174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 ht="15.5">
      <c r="A53" s="42" t="s">
        <v>45</v>
      </c>
      <c r="B53" s="173"/>
      <c r="C53" s="42"/>
      <c r="D53" s="42"/>
      <c r="E53" s="42"/>
      <c r="F53" s="42"/>
      <c r="G53" s="42"/>
      <c r="H53" s="42"/>
      <c r="I53" s="42"/>
      <c r="J53" s="40"/>
      <c r="K53" s="40"/>
      <c r="L53" s="40"/>
    </row>
    <row r="54" spans="1:12" ht="15.5">
      <c r="A54" s="40" t="s">
        <v>605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spans="1:12" ht="15.5">
      <c r="A55" s="40" t="s">
        <v>606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</row>
    <row r="56" spans="1:12" ht="15.5">
      <c r="A56" s="40" t="s">
        <v>607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15.5">
      <c r="A57" s="40" t="s">
        <v>608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 ht="15.5">
      <c r="A58" s="40" t="s">
        <v>609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</row>
    <row r="59" spans="1:12" ht="15.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1:12" ht="15.5">
      <c r="A60" s="42" t="s">
        <v>47</v>
      </c>
      <c r="B60" s="42"/>
      <c r="C60" s="42"/>
      <c r="D60" s="42"/>
      <c r="E60" s="42"/>
      <c r="F60" s="42"/>
      <c r="G60" s="42"/>
      <c r="H60" s="42"/>
      <c r="I60" s="42"/>
      <c r="J60" s="40"/>
      <c r="K60" s="40"/>
      <c r="L60" s="40"/>
    </row>
    <row r="61" spans="1:12" ht="15.5">
      <c r="A61" s="40" t="s">
        <v>610</v>
      </c>
      <c r="B61" s="40"/>
      <c r="C61" s="40"/>
      <c r="D61" s="40"/>
      <c r="E61" s="40"/>
      <c r="F61" s="40"/>
      <c r="G61" s="40" t="s">
        <v>611</v>
      </c>
      <c r="H61" s="40"/>
      <c r="I61" s="40" t="s">
        <v>612</v>
      </c>
      <c r="J61" s="40"/>
      <c r="K61" s="40"/>
      <c r="L61" s="40"/>
    </row>
    <row r="62" spans="1:12" ht="15.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</row>
    <row r="63" spans="1:12" ht="15.5">
      <c r="A63" s="40" t="s">
        <v>613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2" ht="15.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 ht="15.5">
      <c r="A65" s="40" t="s">
        <v>614</v>
      </c>
      <c r="B65" s="40"/>
      <c r="C65" s="40"/>
      <c r="D65" s="40"/>
      <c r="E65" s="40"/>
      <c r="F65" s="40"/>
      <c r="G65" s="40"/>
      <c r="H65" s="40"/>
      <c r="I65" s="40"/>
      <c r="J65" s="40" t="s">
        <v>331</v>
      </c>
      <c r="K65" s="40"/>
      <c r="L65" s="40"/>
    </row>
    <row r="66" spans="1:12" ht="15.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</row>
    <row r="67" spans="1:12" ht="15.5">
      <c r="A67" s="40" t="s">
        <v>615</v>
      </c>
      <c r="B67" s="40"/>
      <c r="C67" s="40"/>
      <c r="D67" s="40"/>
      <c r="E67" s="40"/>
      <c r="F67" s="40"/>
      <c r="G67" s="40"/>
      <c r="H67" s="40"/>
      <c r="I67" s="40"/>
      <c r="J67" s="40" t="s">
        <v>331</v>
      </c>
      <c r="K67" s="40"/>
      <c r="L67" s="40"/>
    </row>
    <row r="68" spans="1:12" ht="15.5">
      <c r="A68" s="40"/>
      <c r="B68" s="40"/>
      <c r="C68" s="174"/>
      <c r="D68" s="174"/>
      <c r="E68" s="40"/>
      <c r="F68" s="40"/>
      <c r="G68" s="40"/>
      <c r="H68" s="40"/>
      <c r="I68" s="40"/>
      <c r="J68" s="40"/>
      <c r="K68" s="40"/>
      <c r="L68" s="40"/>
    </row>
    <row r="69" spans="1:12" ht="15.5">
      <c r="A69" s="40" t="s">
        <v>616</v>
      </c>
      <c r="B69" s="40"/>
      <c r="C69" s="174"/>
      <c r="D69" s="174"/>
      <c r="E69" s="40"/>
      <c r="F69" s="40"/>
      <c r="G69" s="40"/>
      <c r="H69" s="40"/>
      <c r="I69" s="40"/>
      <c r="J69" s="40" t="s">
        <v>331</v>
      </c>
      <c r="K69" s="40"/>
      <c r="L69" s="40"/>
    </row>
    <row r="70" spans="1:12" ht="15.5">
      <c r="A70" s="40"/>
      <c r="B70" s="40"/>
      <c r="C70" s="174"/>
      <c r="D70" s="174"/>
      <c r="E70" s="40"/>
      <c r="F70" s="40"/>
      <c r="G70" s="40"/>
      <c r="H70" s="40"/>
      <c r="I70" s="40"/>
      <c r="J70" s="40"/>
      <c r="K70" s="40"/>
      <c r="L70" s="40"/>
    </row>
    <row r="71" spans="1:12" ht="15.5">
      <c r="A71" s="40" t="s">
        <v>617</v>
      </c>
      <c r="B71" s="40"/>
      <c r="C71" s="174"/>
      <c r="D71" s="174"/>
      <c r="E71" s="40"/>
      <c r="F71" s="40"/>
      <c r="G71" s="40"/>
      <c r="H71" s="40"/>
      <c r="I71" s="40"/>
      <c r="J71" s="40" t="s">
        <v>331</v>
      </c>
      <c r="K71" s="40"/>
      <c r="L71" s="40"/>
    </row>
    <row r="72" spans="1:12" ht="15.5">
      <c r="A72" s="40"/>
      <c r="B72" s="40"/>
      <c r="C72" s="99"/>
      <c r="D72" s="99"/>
      <c r="E72" s="40"/>
      <c r="F72" s="40"/>
      <c r="G72" s="40"/>
      <c r="H72" s="40"/>
      <c r="I72" s="40"/>
      <c r="J72" s="40"/>
      <c r="K72" s="40"/>
      <c r="L72" s="40"/>
    </row>
    <row r="73" spans="1:12" ht="15.5">
      <c r="A73" s="40" t="s">
        <v>618</v>
      </c>
      <c r="B73" s="40"/>
      <c r="C73" s="99"/>
      <c r="D73" s="99"/>
      <c r="E73" s="40"/>
      <c r="F73" s="40"/>
      <c r="G73" s="40"/>
      <c r="H73" s="40"/>
      <c r="I73" s="40"/>
      <c r="J73" s="40" t="s">
        <v>331</v>
      </c>
      <c r="K73" s="40"/>
      <c r="L73" s="40"/>
    </row>
    <row r="74" spans="1:12" ht="15.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15.5">
      <c r="A75" s="40" t="s">
        <v>619</v>
      </c>
      <c r="B75" s="40"/>
      <c r="C75" s="40"/>
      <c r="D75" s="40"/>
      <c r="E75" s="40"/>
      <c r="F75" s="40"/>
      <c r="G75" s="40"/>
      <c r="H75" s="40"/>
      <c r="I75" s="40"/>
      <c r="J75" s="40" t="s">
        <v>331</v>
      </c>
      <c r="K75" s="40"/>
      <c r="L75" s="40"/>
    </row>
    <row r="76" spans="1:12" ht="15.5">
      <c r="A76" s="40"/>
      <c r="B76" s="40"/>
      <c r="C76" s="40"/>
      <c r="D76" s="40"/>
      <c r="E76" s="40"/>
      <c r="F76" s="40"/>
      <c r="G76" s="40"/>
      <c r="H76" s="42" t="s">
        <v>620</v>
      </c>
      <c r="I76" s="40"/>
      <c r="J76" s="40"/>
      <c r="K76" s="40"/>
      <c r="L76" s="40"/>
    </row>
    <row r="77" spans="1:12" ht="15.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66A6-07AF-403E-AE2C-23BE90F190A9}">
  <dimension ref="A1:K62"/>
  <sheetViews>
    <sheetView topLeftCell="A3" zoomScale="85" zoomScaleNormal="85" workbookViewId="0">
      <selection activeCell="B40" sqref="A1:K40"/>
    </sheetView>
  </sheetViews>
  <sheetFormatPr defaultRowHeight="14.5"/>
  <cols>
    <col min="1" max="1" width="6.453125" customWidth="1"/>
    <col min="10" max="10" width="29.1796875" customWidth="1"/>
    <col min="11" max="11" width="34" customWidth="1"/>
  </cols>
  <sheetData>
    <row r="1" spans="1:11" ht="18.5">
      <c r="F1" s="34" t="s">
        <v>141</v>
      </c>
      <c r="G1" s="35"/>
      <c r="H1" s="35"/>
      <c r="I1" s="35"/>
    </row>
    <row r="2" spans="1:11" ht="12" customHeight="1">
      <c r="E2" s="34"/>
    </row>
    <row r="3" spans="1:11" s="118" customFormat="1" ht="18.5">
      <c r="A3" s="116" t="s">
        <v>142</v>
      </c>
      <c r="B3" s="116"/>
      <c r="C3" s="116"/>
      <c r="D3" s="116"/>
      <c r="E3" s="116"/>
      <c r="F3" s="116"/>
      <c r="G3" s="116"/>
      <c r="H3" s="116"/>
      <c r="I3" s="117"/>
      <c r="J3" s="117"/>
      <c r="K3" s="117"/>
    </row>
    <row r="4" spans="1:11" ht="15" customHeight="1">
      <c r="A4" s="38"/>
      <c r="B4" s="39"/>
      <c r="C4" s="39"/>
      <c r="D4" s="38"/>
      <c r="E4" s="39"/>
      <c r="F4" s="39"/>
      <c r="G4" s="39"/>
      <c r="H4" s="39"/>
      <c r="I4" s="37"/>
      <c r="J4" s="37"/>
      <c r="K4" s="37"/>
    </row>
    <row r="5" spans="1:11" ht="21">
      <c r="A5" s="34" t="s">
        <v>143</v>
      </c>
      <c r="B5" s="36"/>
      <c r="C5" s="36"/>
      <c r="D5" s="34"/>
      <c r="E5" s="36"/>
      <c r="F5" s="39"/>
      <c r="G5" s="39"/>
      <c r="H5" s="39"/>
      <c r="I5" s="37"/>
      <c r="J5" s="37"/>
      <c r="K5" s="37"/>
    </row>
    <row r="6" spans="1:11" ht="15.5">
      <c r="A6" s="40" t="s">
        <v>144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.75" customHeight="1">
      <c r="A7" s="40" t="s">
        <v>145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5.5">
      <c r="A8" s="40" t="s">
        <v>146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18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15.5">
      <c r="A10" s="42" t="s">
        <v>147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ht="15.5">
      <c r="A11" s="43" t="s">
        <v>148</v>
      </c>
      <c r="B11" s="40" t="s">
        <v>149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15.5">
      <c r="A12" s="41"/>
      <c r="B12" s="42" t="s">
        <v>67</v>
      </c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6.5" customHeight="1">
      <c r="A13" s="41"/>
      <c r="B13" s="208" t="s">
        <v>150</v>
      </c>
      <c r="C13" s="208"/>
      <c r="D13" s="208"/>
      <c r="E13" s="208"/>
      <c r="F13" s="208"/>
      <c r="G13" s="208"/>
      <c r="H13" s="208"/>
      <c r="I13" s="208"/>
      <c r="J13" s="208"/>
      <c r="K13" s="208"/>
    </row>
    <row r="14" spans="1:11" ht="19.5" customHeight="1">
      <c r="A14" s="41"/>
      <c r="B14" s="208" t="s">
        <v>151</v>
      </c>
      <c r="C14" s="208"/>
      <c r="D14" s="208"/>
      <c r="E14" s="208"/>
      <c r="F14" s="208"/>
      <c r="G14" s="208"/>
      <c r="H14" s="208"/>
      <c r="I14" s="208"/>
      <c r="J14" s="208"/>
      <c r="K14" s="41"/>
    </row>
    <row r="15" spans="1:11" ht="16.5" customHeight="1">
      <c r="A15" s="41"/>
      <c r="B15" s="119" t="s">
        <v>152</v>
      </c>
      <c r="C15" s="119"/>
      <c r="D15" s="119"/>
      <c r="E15" s="119"/>
      <c r="F15" s="119"/>
      <c r="G15" s="119"/>
      <c r="H15" s="119"/>
      <c r="I15" s="119"/>
      <c r="J15" s="119"/>
      <c r="K15" s="41"/>
    </row>
    <row r="16" spans="1:11" ht="18" customHeight="1">
      <c r="A16" s="41"/>
      <c r="B16" s="208" t="s">
        <v>153</v>
      </c>
      <c r="C16" s="208"/>
      <c r="D16" s="208"/>
      <c r="E16" s="208"/>
      <c r="F16" s="208"/>
      <c r="G16" s="208"/>
      <c r="H16" s="208"/>
      <c r="I16" s="208"/>
      <c r="J16" s="208"/>
      <c r="K16" s="41"/>
    </row>
    <row r="17" spans="1:11" ht="15.5">
      <c r="A17" s="41"/>
      <c r="B17" s="42" t="s">
        <v>154</v>
      </c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8" customHeight="1">
      <c r="A18" s="41"/>
      <c r="B18" s="208" t="s">
        <v>155</v>
      </c>
      <c r="C18" s="208"/>
      <c r="D18" s="208"/>
      <c r="E18" s="208"/>
      <c r="F18" s="208"/>
      <c r="G18" s="208"/>
      <c r="H18" s="208"/>
      <c r="I18" s="208"/>
      <c r="J18" s="208"/>
      <c r="K18" s="41"/>
    </row>
    <row r="19" spans="1:11" ht="18.75" customHeight="1">
      <c r="A19" s="41"/>
      <c r="B19" s="208" t="s">
        <v>156</v>
      </c>
      <c r="C19" s="208"/>
      <c r="D19" s="208"/>
      <c r="E19" s="208"/>
      <c r="F19" s="208"/>
      <c r="G19" s="208"/>
      <c r="H19" s="208"/>
      <c r="I19" s="208"/>
      <c r="J19" s="208"/>
      <c r="K19" s="41"/>
    </row>
    <row r="20" spans="1:11" ht="12.7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15.5">
      <c r="A21" s="41"/>
      <c r="B21" s="42" t="s">
        <v>104</v>
      </c>
      <c r="C21" s="41"/>
      <c r="D21" s="41"/>
      <c r="E21" s="41"/>
      <c r="F21" s="41"/>
      <c r="G21" s="41"/>
      <c r="H21" s="41"/>
      <c r="I21" s="41"/>
      <c r="J21" s="41"/>
      <c r="K21" s="41"/>
    </row>
    <row r="22" spans="1:11" ht="16.5" customHeight="1">
      <c r="A22" s="41"/>
      <c r="B22" s="119" t="s">
        <v>157</v>
      </c>
      <c r="C22" s="119"/>
      <c r="D22" s="119"/>
      <c r="E22" s="119"/>
      <c r="F22" s="119"/>
      <c r="G22" s="119"/>
      <c r="H22" s="119"/>
      <c r="I22" s="119"/>
      <c r="J22" s="119"/>
      <c r="K22" s="41"/>
    </row>
    <row r="23" spans="1:11" ht="17.25" customHeight="1">
      <c r="A23" s="41"/>
      <c r="B23" s="208" t="s">
        <v>158</v>
      </c>
      <c r="C23" s="208"/>
      <c r="D23" s="208"/>
      <c r="E23" s="208"/>
      <c r="F23" s="208"/>
      <c r="G23" s="208"/>
      <c r="H23" s="208"/>
      <c r="I23" s="208"/>
      <c r="J23" s="208"/>
      <c r="K23" s="41"/>
    </row>
    <row r="24" spans="1:11" ht="18.75" customHeight="1">
      <c r="A24" s="44" t="s">
        <v>159</v>
      </c>
      <c r="B24" s="209" t="s">
        <v>160</v>
      </c>
      <c r="C24" s="209"/>
      <c r="D24" s="209"/>
      <c r="E24" s="209"/>
      <c r="F24" s="209"/>
      <c r="G24" s="209"/>
      <c r="H24" s="209"/>
      <c r="I24" s="209"/>
      <c r="J24" s="209"/>
      <c r="K24" s="41"/>
    </row>
    <row r="25" spans="1:11" ht="15.75" customHeight="1">
      <c r="A25" s="44" t="s">
        <v>161</v>
      </c>
      <c r="B25" s="210" t="s">
        <v>162</v>
      </c>
      <c r="C25" s="210"/>
      <c r="D25" s="210"/>
      <c r="E25" s="210"/>
      <c r="F25" s="210"/>
      <c r="G25" s="210"/>
      <c r="H25" s="210"/>
      <c r="I25" s="210"/>
      <c r="J25" s="210"/>
      <c r="K25" s="41"/>
    </row>
    <row r="26" spans="1:11" ht="17.25" customHeight="1">
      <c r="A26" s="44" t="s">
        <v>163</v>
      </c>
      <c r="B26" s="209" t="s">
        <v>164</v>
      </c>
      <c r="C26" s="209"/>
      <c r="D26" s="209"/>
      <c r="E26" s="209"/>
      <c r="F26" s="209"/>
      <c r="G26" s="209"/>
      <c r="H26" s="209"/>
      <c r="I26" s="209"/>
      <c r="J26" s="209"/>
      <c r="K26" s="41"/>
    </row>
    <row r="27" spans="1:11" ht="16.5" customHeight="1">
      <c r="A27" s="44" t="s">
        <v>165</v>
      </c>
      <c r="B27" s="209" t="s">
        <v>166</v>
      </c>
      <c r="C27" s="209"/>
      <c r="D27" s="209"/>
      <c r="E27" s="209"/>
      <c r="F27" s="209"/>
      <c r="G27" s="209"/>
      <c r="H27" s="209"/>
      <c r="I27" s="209"/>
      <c r="J27" s="209"/>
      <c r="K27" s="41"/>
    </row>
    <row r="28" spans="1:11" ht="21.75" customHeight="1">
      <c r="A28" s="44" t="s">
        <v>167</v>
      </c>
      <c r="B28" s="209" t="s">
        <v>168</v>
      </c>
      <c r="C28" s="209"/>
      <c r="D28" s="209"/>
      <c r="E28" s="209"/>
      <c r="F28" s="209"/>
      <c r="G28" s="209"/>
      <c r="H28" s="209"/>
      <c r="I28" s="209"/>
      <c r="J28" s="209"/>
      <c r="K28" s="56"/>
    </row>
    <row r="29" spans="1:11" ht="28.5" customHeight="1">
      <c r="A29" s="44" t="s">
        <v>169</v>
      </c>
      <c r="B29" s="210" t="s">
        <v>379</v>
      </c>
      <c r="C29" s="210"/>
      <c r="D29" s="210"/>
      <c r="E29" s="210"/>
      <c r="F29" s="210"/>
      <c r="G29" s="210"/>
      <c r="H29" s="210"/>
      <c r="I29" s="210"/>
      <c r="J29" s="210"/>
      <c r="K29" s="41"/>
    </row>
    <row r="30" spans="1:11" ht="18" customHeight="1">
      <c r="A30" s="44" t="s">
        <v>170</v>
      </c>
      <c r="B30" s="209" t="s">
        <v>171</v>
      </c>
      <c r="C30" s="209"/>
      <c r="D30" s="209"/>
      <c r="E30" s="209"/>
      <c r="F30" s="209"/>
      <c r="G30" s="209"/>
      <c r="H30" s="209"/>
      <c r="I30" s="209"/>
      <c r="J30" s="209"/>
      <c r="K30" s="41"/>
    </row>
    <row r="31" spans="1:11" ht="17.25" customHeight="1">
      <c r="A31" s="44" t="s">
        <v>172</v>
      </c>
      <c r="B31" s="209" t="s">
        <v>173</v>
      </c>
      <c r="C31" s="209"/>
      <c r="D31" s="209"/>
      <c r="E31" s="209"/>
      <c r="F31" s="209"/>
      <c r="G31" s="209"/>
      <c r="H31" s="209"/>
      <c r="I31" s="209"/>
      <c r="J31" s="209"/>
      <c r="K31" s="41"/>
    </row>
    <row r="32" spans="1:11" ht="18" customHeight="1">
      <c r="A32" s="41"/>
      <c r="B32" s="208" t="s">
        <v>174</v>
      </c>
      <c r="C32" s="208"/>
      <c r="D32" s="208"/>
      <c r="E32" s="208"/>
      <c r="F32" s="208"/>
      <c r="G32" s="208"/>
      <c r="H32" s="208"/>
      <c r="I32" s="208"/>
      <c r="J32" s="208"/>
    </row>
    <row r="33" spans="1:11" ht="18" customHeight="1">
      <c r="A33" s="41"/>
      <c r="B33" s="208" t="s">
        <v>175</v>
      </c>
      <c r="C33" s="208"/>
      <c r="D33" s="208"/>
      <c r="E33" s="208"/>
      <c r="F33" s="208"/>
      <c r="G33" s="208"/>
      <c r="H33" s="208"/>
      <c r="I33" s="208"/>
      <c r="J33" s="208"/>
      <c r="K33" s="41"/>
    </row>
    <row r="34" spans="1:11" ht="17.25" customHeight="1">
      <c r="A34" s="41"/>
      <c r="B34" s="211" t="s">
        <v>176</v>
      </c>
      <c r="C34" s="211"/>
      <c r="D34" s="211"/>
      <c r="E34" s="211"/>
      <c r="F34" s="211"/>
      <c r="G34" s="211"/>
      <c r="H34" s="211"/>
      <c r="I34" s="211"/>
      <c r="J34" s="211"/>
      <c r="K34" s="41"/>
    </row>
    <row r="35" spans="1:11" ht="15.5">
      <c r="A35" s="44" t="s">
        <v>177</v>
      </c>
      <c r="B35" s="209" t="s">
        <v>178</v>
      </c>
      <c r="C35" s="209"/>
      <c r="D35" s="209"/>
      <c r="E35" s="209"/>
      <c r="F35" s="209"/>
      <c r="G35" s="209"/>
      <c r="H35" s="209"/>
      <c r="I35" s="209"/>
      <c r="J35" s="209"/>
      <c r="K35" s="41"/>
    </row>
    <row r="36" spans="1:11" ht="15.5">
      <c r="A36" s="41"/>
      <c r="B36" s="208" t="s">
        <v>179</v>
      </c>
      <c r="C36" s="208"/>
      <c r="D36" s="208"/>
      <c r="E36" s="208"/>
      <c r="F36" s="208"/>
      <c r="G36" s="208"/>
      <c r="H36" s="208"/>
      <c r="I36" s="208"/>
      <c r="J36" s="208"/>
      <c r="K36" s="41"/>
    </row>
    <row r="37" spans="1:11" ht="15.5">
      <c r="A37" s="41"/>
      <c r="B37" s="208" t="s">
        <v>180</v>
      </c>
      <c r="C37" s="208"/>
      <c r="D37" s="208"/>
      <c r="E37" s="208"/>
      <c r="F37" s="208"/>
      <c r="G37" s="208"/>
      <c r="H37" s="208"/>
      <c r="I37" s="208"/>
      <c r="J37" s="208"/>
      <c r="K37" s="41"/>
    </row>
    <row r="38" spans="1:11" ht="15.5">
      <c r="A38" s="41"/>
      <c r="B38" s="208" t="s">
        <v>181</v>
      </c>
      <c r="C38" s="208"/>
      <c r="D38" s="208"/>
      <c r="E38" s="208"/>
      <c r="F38" s="208"/>
      <c r="G38" s="208"/>
      <c r="H38" s="208"/>
      <c r="I38" s="208"/>
      <c r="J38" s="208"/>
      <c r="K38" s="41"/>
    </row>
    <row r="39" spans="1:11" ht="17.25" customHeight="1">
      <c r="A39" s="44" t="s">
        <v>182</v>
      </c>
      <c r="B39" s="209" t="s">
        <v>183</v>
      </c>
      <c r="C39" s="209"/>
      <c r="D39" s="209"/>
      <c r="E39" s="209"/>
      <c r="F39" s="209"/>
      <c r="G39" s="209"/>
      <c r="H39" s="209"/>
      <c r="I39" s="209"/>
      <c r="J39" s="209"/>
      <c r="K39" s="41"/>
    </row>
    <row r="40" spans="1:11" ht="18.75" customHeight="1">
      <c r="A40" s="44" t="s">
        <v>184</v>
      </c>
      <c r="B40" s="210" t="s">
        <v>185</v>
      </c>
      <c r="C40" s="210"/>
      <c r="D40" s="210"/>
      <c r="E40" s="210"/>
      <c r="F40" s="210"/>
      <c r="G40" s="210"/>
      <c r="H40" s="210"/>
      <c r="I40" s="210"/>
      <c r="J40" s="210"/>
      <c r="K40" s="41"/>
    </row>
    <row r="41" spans="1:11" ht="15.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15.5">
      <c r="A42" s="42" t="s">
        <v>47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15.5">
      <c r="A43" s="40" t="s">
        <v>186</v>
      </c>
      <c r="B43" s="40" t="s">
        <v>187</v>
      </c>
      <c r="C43" s="40"/>
      <c r="D43" s="40"/>
      <c r="E43" s="40"/>
      <c r="F43" s="40"/>
      <c r="G43" s="40"/>
      <c r="H43" s="40"/>
      <c r="I43" s="40"/>
      <c r="J43" s="40"/>
      <c r="K43" s="23"/>
    </row>
    <row r="44" spans="1:11" ht="15.5">
      <c r="B44" s="45" t="s">
        <v>188</v>
      </c>
      <c r="C44" s="40"/>
      <c r="D44" s="40"/>
      <c r="E44" s="40"/>
      <c r="F44" s="40"/>
      <c r="G44" s="40"/>
      <c r="H44" s="40"/>
      <c r="I44" s="40"/>
      <c r="J44" s="40"/>
      <c r="K44" s="40"/>
    </row>
    <row r="45" spans="1:11" ht="15.5">
      <c r="B45" s="40"/>
      <c r="C45" s="40"/>
      <c r="D45" s="40"/>
      <c r="E45" s="40"/>
      <c r="F45" s="40"/>
      <c r="G45" s="40"/>
      <c r="H45" s="40"/>
      <c r="I45" s="40"/>
      <c r="J45" s="40"/>
      <c r="K45" s="115" t="s">
        <v>189</v>
      </c>
    </row>
    <row r="46" spans="1:11">
      <c r="K46" s="114"/>
    </row>
    <row r="47" spans="1:11" ht="15.5">
      <c r="A47" s="40" t="s">
        <v>190</v>
      </c>
      <c r="B47" s="40" t="s">
        <v>191</v>
      </c>
      <c r="C47" s="23"/>
      <c r="D47" s="23"/>
      <c r="E47" s="23"/>
      <c r="F47" s="23"/>
      <c r="G47" s="23"/>
      <c r="H47" s="23"/>
      <c r="I47" s="23"/>
      <c r="J47" s="23"/>
      <c r="K47" s="114"/>
    </row>
    <row r="48" spans="1:11">
      <c r="K48" s="114"/>
    </row>
    <row r="49" spans="1:11" ht="15.5">
      <c r="B49" s="40" t="s">
        <v>192</v>
      </c>
      <c r="C49" s="40" t="s">
        <v>193</v>
      </c>
      <c r="D49" s="40"/>
      <c r="E49" s="40"/>
      <c r="F49" s="40"/>
      <c r="G49" s="40"/>
      <c r="H49" s="40"/>
      <c r="I49" s="40"/>
      <c r="J49" s="40"/>
      <c r="K49" s="50" t="s">
        <v>194</v>
      </c>
    </row>
    <row r="50" spans="1:11" ht="15.5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1:11" ht="15.5">
      <c r="B51" s="40" t="s">
        <v>195</v>
      </c>
      <c r="C51" s="40" t="s">
        <v>196</v>
      </c>
      <c r="D51" s="40"/>
      <c r="E51" s="40"/>
      <c r="F51" s="40"/>
      <c r="G51" s="40"/>
      <c r="H51" s="40"/>
      <c r="I51" s="40"/>
      <c r="J51" s="40"/>
      <c r="K51" s="50" t="s">
        <v>194</v>
      </c>
    </row>
    <row r="52" spans="1:11" ht="15.5">
      <c r="B52" s="40"/>
      <c r="C52" s="40"/>
      <c r="D52" s="40"/>
      <c r="E52" s="40"/>
      <c r="F52" s="40"/>
      <c r="G52" s="40"/>
      <c r="H52" s="40"/>
      <c r="I52" s="40"/>
      <c r="J52" s="40"/>
      <c r="K52" s="50"/>
    </row>
    <row r="53" spans="1:11" ht="15.5">
      <c r="B53" s="40" t="s">
        <v>197</v>
      </c>
      <c r="C53" s="40" t="s">
        <v>198</v>
      </c>
      <c r="D53" s="40"/>
      <c r="E53" s="40"/>
      <c r="F53" s="40"/>
      <c r="G53" s="40"/>
      <c r="H53" s="40"/>
      <c r="I53" s="40"/>
      <c r="J53" s="40"/>
      <c r="K53" s="50" t="s">
        <v>194</v>
      </c>
    </row>
    <row r="54" spans="1:11" ht="15.5">
      <c r="B54" s="40"/>
      <c r="C54" s="40"/>
      <c r="D54" s="40"/>
      <c r="E54" s="40"/>
      <c r="F54" s="40"/>
      <c r="G54" s="40"/>
      <c r="H54" s="40"/>
      <c r="I54" s="40"/>
      <c r="J54" s="40"/>
      <c r="K54" s="50"/>
    </row>
    <row r="55" spans="1:11" ht="15.5">
      <c r="B55" s="40" t="s">
        <v>199</v>
      </c>
      <c r="C55" s="40" t="s">
        <v>200</v>
      </c>
      <c r="D55" s="40"/>
      <c r="E55" s="40"/>
      <c r="F55" s="40"/>
      <c r="G55" s="40"/>
      <c r="H55" s="40"/>
      <c r="I55" s="40"/>
      <c r="J55" s="40"/>
      <c r="K55" s="50" t="s">
        <v>194</v>
      </c>
    </row>
    <row r="56" spans="1:11" ht="15.5">
      <c r="B56" s="40"/>
      <c r="C56" s="40"/>
      <c r="D56" s="40"/>
      <c r="E56" s="40"/>
      <c r="F56" s="40"/>
      <c r="G56" s="40"/>
      <c r="H56" s="40"/>
      <c r="I56" s="40"/>
      <c r="J56" s="40"/>
      <c r="K56" s="50"/>
    </row>
    <row r="57" spans="1:11" ht="15.5">
      <c r="B57" s="40" t="s">
        <v>201</v>
      </c>
      <c r="C57" s="40" t="s">
        <v>202</v>
      </c>
      <c r="D57" s="40"/>
      <c r="E57" s="40"/>
      <c r="F57" s="40"/>
      <c r="G57" s="40"/>
      <c r="H57" s="40"/>
      <c r="I57" s="40"/>
      <c r="J57" s="40"/>
      <c r="K57" s="50" t="s">
        <v>194</v>
      </c>
    </row>
    <row r="58" spans="1:11" ht="12.75" customHeight="1">
      <c r="K58" s="114"/>
    </row>
    <row r="59" spans="1:11" ht="15.5">
      <c r="A59" s="40" t="s">
        <v>203</v>
      </c>
      <c r="B59" s="40" t="s">
        <v>204</v>
      </c>
      <c r="C59" s="40"/>
      <c r="D59" s="40"/>
      <c r="E59" s="40"/>
      <c r="F59" s="40"/>
      <c r="G59" s="40"/>
      <c r="H59" s="40"/>
      <c r="I59" s="40"/>
      <c r="J59" s="40"/>
      <c r="K59" s="50" t="s">
        <v>205</v>
      </c>
    </row>
    <row r="60" spans="1:11" ht="15.5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2" spans="1:11" ht="19.5" customHeight="1"/>
  </sheetData>
  <mergeCells count="23">
    <mergeCell ref="B40:J40"/>
    <mergeCell ref="B34:J34"/>
    <mergeCell ref="B35:J35"/>
    <mergeCell ref="B36:J36"/>
    <mergeCell ref="B37:J37"/>
    <mergeCell ref="B38:J38"/>
    <mergeCell ref="B39:J39"/>
    <mergeCell ref="B33:J33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19:J19"/>
    <mergeCell ref="B13:K13"/>
    <mergeCell ref="B14:J14"/>
    <mergeCell ref="B16:J16"/>
    <mergeCell ref="B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Furaha</vt:lpstr>
      <vt:lpstr>RATIOS Q1</vt:lpstr>
      <vt:lpstr>Super cars Limited</vt:lpstr>
      <vt:lpstr>Utajiri Limited</vt:lpstr>
      <vt:lpstr>BDA PILOT DECEMBER 2022 Q21</vt:lpstr>
      <vt:lpstr>BDA PILOT DECEMBER 2022 Q22</vt:lpstr>
      <vt:lpstr>BDA DECEMBER 2022 Q21</vt:lpstr>
      <vt:lpstr>BDA AUGUST 2023 Q21</vt:lpstr>
      <vt:lpstr>FMDA APRIL 2024 Q21</vt:lpstr>
      <vt:lpstr>FMDA APRIL 2023 Q22</vt:lpstr>
      <vt:lpstr>BDA APRIL 2024 Q21</vt:lpstr>
      <vt:lpstr>BDA APRIL 2024 Q22</vt:lpstr>
      <vt:lpstr>BDA APRIL 2024 Q24</vt:lpstr>
      <vt:lpstr>BDA DECEMBER 2024 Q21</vt:lpstr>
      <vt:lpstr>BDA APRIL 2025 Q21</vt:lpstr>
      <vt:lpstr>FMDA APRIL 2025 Q21</vt:lpstr>
      <vt:lpstr>DECEMBER 2025 Q21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aura</dc:creator>
  <cp:lastModifiedBy>OMONDI OTIENO</cp:lastModifiedBy>
  <cp:lastPrinted>2025-10-14T13:22:29Z</cp:lastPrinted>
  <dcterms:created xsi:type="dcterms:W3CDTF">2023-10-18T16:58:52Z</dcterms:created>
  <dcterms:modified xsi:type="dcterms:W3CDTF">2025-10-21T14:18:56Z</dcterms:modified>
</cp:coreProperties>
</file>